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hez\Desktop\Transparency\Check Registers 3 Fiscal Years\"/>
    </mc:Choice>
  </mc:AlternateContent>
  <xr:revisionPtr revIDLastSave="0" documentId="13_ncr:1_{76838FE3-BEC4-40F5-B826-56939CFB7A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5" i="2" l="1"/>
  <c r="D1067" i="2" s="1"/>
  <c r="D592" i="2"/>
  <c r="D684" i="2"/>
  <c r="D747" i="2"/>
  <c r="D871" i="2"/>
  <c r="D914" i="2"/>
  <c r="D940" i="2"/>
  <c r="D1041" i="2"/>
  <c r="D1057" i="2"/>
  <c r="D1059" i="2" s="1"/>
  <c r="D1051" i="2"/>
  <c r="D520" i="2"/>
  <c r="D421" i="2"/>
  <c r="D327" i="2"/>
  <c r="D254" i="2"/>
  <c r="D158" i="2"/>
  <c r="D82" i="2"/>
  <c r="D93" i="2"/>
  <c r="D87" i="2"/>
  <c r="D84" i="2"/>
  <c r="D80" i="2"/>
  <c r="D77" i="2"/>
  <c r="D74" i="2"/>
  <c r="D71" i="2"/>
  <c r="D69" i="2"/>
  <c r="D67" i="2"/>
  <c r="D59" i="2"/>
  <c r="D45" i="2"/>
  <c r="D1052" i="2" l="1"/>
  <c r="D95" i="2"/>
  <c r="D52" i="2"/>
  <c r="D47" i="2"/>
  <c r="D43" i="2"/>
  <c r="D37" i="2"/>
  <c r="D31" i="2"/>
  <c r="D26" i="2"/>
  <c r="D22" i="2"/>
  <c r="D17" i="2"/>
  <c r="D15" i="2"/>
  <c r="D11" i="2"/>
  <c r="D6" i="2"/>
  <c r="B1064" i="2"/>
  <c r="B1063" i="2"/>
  <c r="B1056" i="2"/>
  <c r="B1047" i="2"/>
  <c r="B1046" i="2"/>
  <c r="B1045" i="2"/>
  <c r="B1044" i="2"/>
  <c r="B1043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1050" i="2"/>
  <c r="B1049" i="2"/>
  <c r="B1048" i="2"/>
  <c r="B92" i="2"/>
  <c r="B91" i="2"/>
  <c r="B90" i="2"/>
  <c r="B89" i="2"/>
  <c r="B88" i="2"/>
  <c r="B86" i="2"/>
  <c r="B85" i="2"/>
  <c r="B83" i="2"/>
  <c r="B81" i="2"/>
  <c r="B79" i="2"/>
  <c r="B78" i="2"/>
  <c r="B76" i="2"/>
  <c r="B75" i="2"/>
  <c r="B73" i="2"/>
  <c r="B72" i="2"/>
  <c r="B70" i="2"/>
  <c r="B68" i="2"/>
  <c r="B66" i="2"/>
  <c r="B65" i="2"/>
  <c r="B64" i="2"/>
  <c r="B63" i="2"/>
  <c r="B62" i="2"/>
  <c r="B61" i="2"/>
  <c r="B60" i="2"/>
  <c r="B58" i="2"/>
  <c r="B51" i="2"/>
  <c r="B50" i="2"/>
  <c r="B49" i="2"/>
  <c r="B48" i="2"/>
  <c r="B46" i="2"/>
  <c r="B44" i="2"/>
  <c r="B42" i="2"/>
  <c r="B41" i="2"/>
  <c r="B40" i="2"/>
  <c r="B39" i="2"/>
  <c r="B38" i="2"/>
  <c r="B36" i="2"/>
  <c r="B35" i="2"/>
  <c r="B34" i="2"/>
  <c r="B33" i="2"/>
  <c r="B32" i="2"/>
  <c r="B30" i="2"/>
  <c r="B29" i="2"/>
  <c r="B28" i="2"/>
  <c r="B27" i="2"/>
  <c r="B25" i="2"/>
  <c r="B24" i="2"/>
  <c r="B23" i="2"/>
  <c r="B21" i="2"/>
  <c r="B20" i="2"/>
  <c r="B19" i="2"/>
  <c r="B18" i="2"/>
  <c r="B16" i="2"/>
  <c r="B14" i="2"/>
  <c r="B13" i="2"/>
  <c r="B12" i="2"/>
  <c r="B10" i="2"/>
  <c r="B9" i="2"/>
  <c r="B8" i="2"/>
  <c r="B7" i="2"/>
  <c r="B5" i="2"/>
  <c r="B4" i="2"/>
  <c r="D54" i="2" l="1"/>
</calcChain>
</file>

<file path=xl/sharedStrings.xml><?xml version="1.0" encoding="utf-8"?>
<sst xmlns="http://schemas.openxmlformats.org/spreadsheetml/2006/main" count="2082" uniqueCount="802">
  <si>
    <t>Labatt Food Service</t>
  </si>
  <si>
    <t>FOOD ITEMS</t>
  </si>
  <si>
    <t xml:space="preserve">MASTERCARD - CARD </t>
  </si>
  <si>
    <t>MILK</t>
  </si>
  <si>
    <t>GAS CARD</t>
  </si>
  <si>
    <t>FUEL/R.18/DIRECT CERT WS</t>
  </si>
  <si>
    <t>NON FOOD ITEMS</t>
  </si>
  <si>
    <t>Milk - breakfast</t>
  </si>
  <si>
    <t>REGION 18 ESC</t>
  </si>
  <si>
    <t>Child Nutrition Training Fee</t>
  </si>
  <si>
    <t>Child Nutrition Training Fuel</t>
  </si>
  <si>
    <t xml:space="preserve">TX DEPARTMENT OF STATE </t>
  </si>
  <si>
    <t>2 Health Inspections</t>
  </si>
  <si>
    <t xml:space="preserve">COMPASS ELECTRICAL </t>
  </si>
  <si>
    <t xml:space="preserve">REPLACE LIGHTS IN </t>
  </si>
  <si>
    <t>BIG BEND BUILDERS</t>
  </si>
  <si>
    <t>Remodeling of Corral</t>
  </si>
  <si>
    <t>Corral insulation,2 ceilingfan</t>
  </si>
  <si>
    <t>QUILL CORPORATION</t>
  </si>
  <si>
    <t>DISTRICT MATERIALS</t>
  </si>
  <si>
    <t>VICK'S PLUMBING, INC.</t>
  </si>
  <si>
    <t>water fountain</t>
  </si>
  <si>
    <t xml:space="preserve">CORRAL/ELEC/AC UNIT/LESS </t>
  </si>
  <si>
    <t>SYNETRA, Inc.</t>
  </si>
  <si>
    <t>Security Cameras</t>
  </si>
  <si>
    <t>electrical services</t>
  </si>
  <si>
    <t>Water Fountain-Portable bldg</t>
  </si>
  <si>
    <t>ABACUS COMPUTERS INC.</t>
  </si>
  <si>
    <t>65" TV, WALL MOUNT</t>
  </si>
  <si>
    <t>Camera Network Support</t>
  </si>
  <si>
    <t>EUGENE SPRINGFIELD</t>
  </si>
  <si>
    <t xml:space="preserve">INSTALL TV RACK AND 65 in </t>
  </si>
  <si>
    <t xml:space="preserve">SEARS HOMETOWN STORE </t>
  </si>
  <si>
    <t>Refrigerator for Corral</t>
  </si>
  <si>
    <t xml:space="preserve">A. BARGAS &amp; ASSOCIATES, </t>
  </si>
  <si>
    <t>Corral Furniture</t>
  </si>
  <si>
    <t>JSA ARCHITECTS, INC.</t>
  </si>
  <si>
    <t>Achitechtural Services</t>
  </si>
  <si>
    <t>Architectural Services</t>
  </si>
  <si>
    <t>Technology</t>
  </si>
  <si>
    <t>MITCHELL'S</t>
  </si>
  <si>
    <t>FLOORING/SUPT OFFICE</t>
  </si>
  <si>
    <t>MCCOY'S #86</t>
  </si>
  <si>
    <t>New Supt Off - Toliet, Vanity</t>
  </si>
  <si>
    <t>TASB Risk Management Fund</t>
  </si>
  <si>
    <t xml:space="preserve">PROPERTY/CASUALTY </t>
  </si>
  <si>
    <t>BIG BEND TELEPHONE CO</t>
  </si>
  <si>
    <t>BROADBAND/INTERNET</t>
  </si>
  <si>
    <t>BOOK SYSTEMS, INC.</t>
  </si>
  <si>
    <t xml:space="preserve">LIBRARY AUTOMATED </t>
  </si>
  <si>
    <t>BREWSTER COUNTY TAX A/C</t>
  </si>
  <si>
    <t xml:space="preserve">VEHICLE </t>
  </si>
  <si>
    <t>BUENA VISTA ISD</t>
  </si>
  <si>
    <t>DISTRICT UIL FEES</t>
  </si>
  <si>
    <t>ISTATION</t>
  </si>
  <si>
    <t>Renewal Annual License</t>
  </si>
  <si>
    <t>JIVE COMMUNICATIONS INC.</t>
  </si>
  <si>
    <t>INTERNET</t>
  </si>
  <si>
    <t>OASIS TIRE COMPANY</t>
  </si>
  <si>
    <t xml:space="preserve">VEHICLE INSPECTION/CHEV </t>
  </si>
  <si>
    <t>ODESSA COLLEGE</t>
  </si>
  <si>
    <t>TUITION/DUAL CREDIT</t>
  </si>
  <si>
    <t xml:space="preserve">TEXAS ASSOC. OF RURAL </t>
  </si>
  <si>
    <t>membership dues - Supt</t>
  </si>
  <si>
    <t>Texas School Coalition</t>
  </si>
  <si>
    <t>Supt membership dues</t>
  </si>
  <si>
    <t>The Brokerage Store, Inc</t>
  </si>
  <si>
    <t>Student insurance</t>
  </si>
  <si>
    <t>TW HEAT &amp; AIR LLC</t>
  </si>
  <si>
    <t>A/C UNIT REPAIRS</t>
  </si>
  <si>
    <t xml:space="preserve">UNIVERSITY OF TEXAS AT </t>
  </si>
  <si>
    <t>UIL membership fees</t>
  </si>
  <si>
    <t>PRINTER CARTRIDGES</t>
  </si>
  <si>
    <t>COMPUTER/LAPTOP</t>
  </si>
  <si>
    <t>AT&amp;T</t>
  </si>
  <si>
    <t>LONG DISTANCE SERVICE</t>
  </si>
  <si>
    <t>CMC BUSINESS SYSTEMS C/0</t>
  </si>
  <si>
    <t>copier contract #DIR-TSO 3101</t>
  </si>
  <si>
    <t>CERTIPORT, INC</t>
  </si>
  <si>
    <t xml:space="preserve">PRACTICE TEST </t>
  </si>
  <si>
    <t>DISH</t>
  </si>
  <si>
    <t>SATELLITE</t>
  </si>
  <si>
    <t>IMAGINE LEARNING, INC.</t>
  </si>
  <si>
    <t>Math Student License</t>
  </si>
  <si>
    <t>JOSEPH LEYVA</t>
  </si>
  <si>
    <t>IT services</t>
  </si>
  <si>
    <t>MARY LOU B LUJAN</t>
  </si>
  <si>
    <t>SERVICES 9/14 &amp; 15/2017</t>
  </si>
  <si>
    <t xml:space="preserve">DIGITAL PHOTOGRAPHY </t>
  </si>
  <si>
    <t>SPANISH TEXTBOOK</t>
  </si>
  <si>
    <t>UTPB/MEALS</t>
  </si>
  <si>
    <t>FUEL/UTPB</t>
  </si>
  <si>
    <t>MEALS/BRKFST/COMSTOCK</t>
  </si>
  <si>
    <t xml:space="preserve">BREAKFAST/CROSS </t>
  </si>
  <si>
    <t>Reg 18 training - Singh lunch</t>
  </si>
  <si>
    <t>meals for board training 9/20</t>
  </si>
  <si>
    <t>2 Panel Doors and door handle</t>
  </si>
  <si>
    <t xml:space="preserve">PK/K Family Involment Open </t>
  </si>
  <si>
    <t>CEL/AG MECH MATERIALS</t>
  </si>
  <si>
    <t>MORRISON TRUE VALUE</t>
  </si>
  <si>
    <t>HITCH</t>
  </si>
  <si>
    <t>light bulbs, ant granules</t>
  </si>
  <si>
    <t>NEAL NOVOSAD</t>
  </si>
  <si>
    <t>REIMB/CERTIFICATION</t>
  </si>
  <si>
    <t>Expedition oil change</t>
  </si>
  <si>
    <t>RANKIN BOOSTER CLUB</t>
  </si>
  <si>
    <t xml:space="preserve">MEALS/REG FEE/CROSS </t>
  </si>
  <si>
    <t xml:space="preserve">RENAISSANCE LEARNING, </t>
  </si>
  <si>
    <t>AR Subscription Renewal</t>
  </si>
  <si>
    <t>maint contractor</t>
  </si>
  <si>
    <t>TASB, INC.</t>
  </si>
  <si>
    <t>HR annual Renewal</t>
  </si>
  <si>
    <t>THERMOSTAT &amp; SYSTEM SVS</t>
  </si>
  <si>
    <t>SYSTEM SERVICES</t>
  </si>
  <si>
    <t xml:space="preserve">UNIVERSITY OF TEXAS - </t>
  </si>
  <si>
    <t>Dual Credit College tuition</t>
  </si>
  <si>
    <t>ZANER-BLOSER, INC.</t>
  </si>
  <si>
    <t>handwriting materials</t>
  </si>
  <si>
    <t>BOARD &amp; STUDENT LAPTOPS</t>
  </si>
  <si>
    <t>ADORAMA</t>
  </si>
  <si>
    <t>CAMERAS/PHOTOGRAPHY</t>
  </si>
  <si>
    <t>Brockman Pest Control</t>
  </si>
  <si>
    <t>termite treatment</t>
  </si>
  <si>
    <t>DIRECT ENERGY BUSINESS</t>
  </si>
  <si>
    <t>ELECTRICITY</t>
  </si>
  <si>
    <t>DOUBLE R WELDING SUPPLY</t>
  </si>
  <si>
    <t>Radnor twin hose- Welding</t>
  </si>
  <si>
    <t>Education Service Ctr Reg 12</t>
  </si>
  <si>
    <t>E-Rate Services</t>
  </si>
  <si>
    <t xml:space="preserve">FORT DAVIS FAMILY </t>
  </si>
  <si>
    <t>Bus Driver Physicals</t>
  </si>
  <si>
    <t>EDUARDO GONZALES</t>
  </si>
  <si>
    <t>removal of bleachers</t>
  </si>
  <si>
    <t>MARATHON WATER &amp; SEWER</t>
  </si>
  <si>
    <t>WATER/SEWER</t>
  </si>
  <si>
    <t>MUSIC IN MOTION</t>
  </si>
  <si>
    <t>MUSIC MATERIALS</t>
  </si>
  <si>
    <t xml:space="preserve">5-6 CLASSROO/MATH </t>
  </si>
  <si>
    <t>VOCABULARY SPELLING CITY</t>
  </si>
  <si>
    <t>Spelling City membership</t>
  </si>
  <si>
    <t>US POST OFFICE</t>
  </si>
  <si>
    <t>POSTAGE</t>
  </si>
  <si>
    <t>ALPINE ISD</t>
  </si>
  <si>
    <t>ANNUAL CONTRIBUTION</t>
  </si>
  <si>
    <t>ATHLETIC SUPPLY, INC.</t>
  </si>
  <si>
    <t>CROSS COUNTRY AWARDS</t>
  </si>
  <si>
    <t>GENERAL PEST CONTROL</t>
  </si>
  <si>
    <t>FUEL/CROSS CTRY</t>
  </si>
  <si>
    <t>VoIP  service</t>
  </si>
  <si>
    <t>MATERIALS</t>
  </si>
  <si>
    <t>flags, flag pole cord, D batte</t>
  </si>
  <si>
    <t>water fountain projects</t>
  </si>
  <si>
    <t>REMIND 101, INC.</t>
  </si>
  <si>
    <t>DISTRICT PLAN</t>
  </si>
  <si>
    <t>INFORMATION SYTEMS</t>
  </si>
  <si>
    <t>NASCO</t>
  </si>
  <si>
    <t>ART MATERIALS</t>
  </si>
  <si>
    <t>AT&amp;T MOBILITY</t>
  </si>
  <si>
    <t>WIRELESS SERVICE</t>
  </si>
  <si>
    <t>Texas Disposal Systems, Inc</t>
  </si>
  <si>
    <t>WASTE DISPOSAL</t>
  </si>
  <si>
    <t>CHROMEBOOKS/STATION/LIC</t>
  </si>
  <si>
    <t xml:space="preserve">BREWSTER COUNTY </t>
  </si>
  <si>
    <t>QUARTERLY PAYMENT</t>
  </si>
  <si>
    <t xml:space="preserve">BREWSTER CNTY APPRAISAL </t>
  </si>
  <si>
    <t>PROPERTY APPRAISALS</t>
  </si>
  <si>
    <t>COMSTOCK ISD</t>
  </si>
  <si>
    <t>MEALS/CROSS COUNTRY</t>
  </si>
  <si>
    <t>FEES/9/9/17</t>
  </si>
  <si>
    <t>PEARSON ED. INC.</t>
  </si>
  <si>
    <t>Cons - Workbooks</t>
  </si>
  <si>
    <t>PO Created by Req: 061453</t>
  </si>
  <si>
    <t>MATERIALS/MATH NIGHT</t>
  </si>
  <si>
    <t>CABLE TIES</t>
  </si>
  <si>
    <t>KENDALL FAYE BURLING</t>
  </si>
  <si>
    <t>Admin servs</t>
  </si>
  <si>
    <t>Professional Services</t>
  </si>
  <si>
    <t>KYLE DOANE</t>
  </si>
  <si>
    <t xml:space="preserve">6/29/16 CK </t>
  </si>
  <si>
    <t>EQUITY CENTER</t>
  </si>
  <si>
    <t>2017-18 membership dues</t>
  </si>
  <si>
    <t>Elem Math Night - Porters's</t>
  </si>
  <si>
    <t>ACT TESTS</t>
  </si>
  <si>
    <t>Hotel for Supt TASA Conv</t>
  </si>
  <si>
    <t>SCREEN PRINT</t>
  </si>
  <si>
    <t>MATERIALS/5 AWARDS</t>
  </si>
  <si>
    <t>MATERIALS/CHICKEN COOP</t>
  </si>
  <si>
    <t>maint supp</t>
  </si>
  <si>
    <t>CHROMA NOTE HANDBELLS</t>
  </si>
  <si>
    <t>STROMBERG'S UNLTD, NC.</t>
  </si>
  <si>
    <t>HATCHERY &amp; MATERIALS</t>
  </si>
  <si>
    <t>TASB-POLICY SERVICE</t>
  </si>
  <si>
    <t>Boardbook  Agreement</t>
  </si>
  <si>
    <t>TEACHER SYNERGY, LLC</t>
  </si>
  <si>
    <t>7TH GR SOC STD</t>
  </si>
  <si>
    <t>TUNE IN</t>
  </si>
  <si>
    <t>ArtSmart Prints</t>
  </si>
  <si>
    <t xml:space="preserve">WALSH GALLEGOS TREVINO </t>
  </si>
  <si>
    <t>legal services</t>
  </si>
  <si>
    <t>LOCKS/LOCKERS</t>
  </si>
  <si>
    <t>Workbooks consumables</t>
  </si>
  <si>
    <t xml:space="preserve">REG FEE/DISTRICT TESTING </t>
  </si>
  <si>
    <t>KELLY SPRINGFIELD</t>
  </si>
  <si>
    <t>MEAL REIMB/ACT STUDENTS</t>
  </si>
  <si>
    <t>AC repairs in Rm 1</t>
  </si>
  <si>
    <t>PO Created by Req: 061517</t>
  </si>
  <si>
    <t>USAA</t>
  </si>
  <si>
    <t>motor vehicle accident damages</t>
  </si>
  <si>
    <t xml:space="preserve">CHICKEN COOP </t>
  </si>
  <si>
    <t>CHAINLINK</t>
  </si>
  <si>
    <t>GT ONLINE CLASSES</t>
  </si>
  <si>
    <t>WEST TEXAS FIRE EXT.</t>
  </si>
  <si>
    <t>fire extingushers inspection</t>
  </si>
  <si>
    <t xml:space="preserve">CORRAL ENVIRONMENTAL </t>
  </si>
  <si>
    <t>Invoice # 1709-4 Oct 2017</t>
  </si>
  <si>
    <t>Eichelbaum Wardell, HP &amp; M, P.</t>
  </si>
  <si>
    <t>Training @ Reg 18</t>
  </si>
  <si>
    <t>Bus Mgr training @ Reg 18</t>
  </si>
  <si>
    <t>Blue Star Bus Sales, LTD</t>
  </si>
  <si>
    <t>AC repairs on school bus</t>
  </si>
  <si>
    <t>ECKERT &amp; COMPANY, CPA</t>
  </si>
  <si>
    <t>AUDIT SERVCES FY17</t>
  </si>
  <si>
    <t>Elem Field Trip</t>
  </si>
  <si>
    <t>Supt travel TASA Conv-Dallas</t>
  </si>
  <si>
    <t xml:space="preserve">JOHNSON FEED &amp; WESTERN </t>
  </si>
  <si>
    <t xml:space="preserve">CHICKEN STARTER/WOOD </t>
  </si>
  <si>
    <t>Mighty Music Publishing</t>
  </si>
  <si>
    <t>UIL MUSIC MATERIALS</t>
  </si>
  <si>
    <t>SPED PRINTER CARTRIDGES</t>
  </si>
  <si>
    <t xml:space="preserve">CARTRIDGES &amp; LAMINATOR </t>
  </si>
  <si>
    <t>SANTANDER BANK N.A.</t>
  </si>
  <si>
    <t>LEASE PAYMENT 1 OF 5</t>
  </si>
  <si>
    <t>Supt house - fence</t>
  </si>
  <si>
    <t>Wesley Martin</t>
  </si>
  <si>
    <t>replaced fire alarm panel bd</t>
  </si>
  <si>
    <t>WTG FUELS</t>
  </si>
  <si>
    <t>FUEL/TANKS</t>
  </si>
  <si>
    <t>Infocus WhiteBd,hardware, pane</t>
  </si>
  <si>
    <t>INSTALL BLOWER ASSEMBLY</t>
  </si>
  <si>
    <t>PARTS/MIRROR</t>
  </si>
  <si>
    <t>ELY GALLEGO</t>
  </si>
  <si>
    <t>OFFICIAL 11/14/2017</t>
  </si>
  <si>
    <t>OFFICIAL 11/27/17</t>
  </si>
  <si>
    <t>MEALS/ACT</t>
  </si>
  <si>
    <t>staff devel refreshments</t>
  </si>
  <si>
    <t>DAHMIR PEARSON</t>
  </si>
  <si>
    <t>OFFICIAL 11/14/17</t>
  </si>
  <si>
    <t>PO Created by Req: 061548</t>
  </si>
  <si>
    <t>SCHOOL SPECIALTY</t>
  </si>
  <si>
    <t>INS MATERIALS/PAPER/RACK</t>
  </si>
  <si>
    <t>SPECTRUM</t>
  </si>
  <si>
    <t>Score Board Repairs</t>
  </si>
  <si>
    <t>STOP!T</t>
  </si>
  <si>
    <t>63-Licenses (2 yrs)</t>
  </si>
  <si>
    <t>TEJAS MANUFACTURING CO</t>
  </si>
  <si>
    <t>Letterman jackets</t>
  </si>
  <si>
    <t>VALENTINE ISD</t>
  </si>
  <si>
    <t>MEALS/BASKETBALL</t>
  </si>
  <si>
    <t>RICHARD VILLANUEVA</t>
  </si>
  <si>
    <t>PROPANE/HEAT</t>
  </si>
  <si>
    <t>CROSS COUNTRY FEES</t>
  </si>
  <si>
    <t>BROCKMAN PEST CONTROL</t>
  </si>
  <si>
    <t>termite gym treatment</t>
  </si>
  <si>
    <t>electrical services server/hal</t>
  </si>
  <si>
    <t>CP SUPPORT, LLC</t>
  </si>
  <si>
    <t>AED SUPPLIES</t>
  </si>
  <si>
    <t>FORT DAVIS ISD</t>
  </si>
  <si>
    <t>BB MEALS/FT. DAVIS</t>
  </si>
  <si>
    <t>SERVICES 11/9-10/2017</t>
  </si>
  <si>
    <t>NHS BANNER</t>
  </si>
  <si>
    <t xml:space="preserve">TASB CONF HOTEL EARLY </t>
  </si>
  <si>
    <t>SUBWAY #11740-0</t>
  </si>
  <si>
    <t>Board Mtg - meal</t>
  </si>
  <si>
    <t>TASB Update 109</t>
  </si>
  <si>
    <t>TASBO</t>
  </si>
  <si>
    <t>Secretary Boot Camp at Reg 18</t>
  </si>
  <si>
    <t>TERRELL COUNTY ISD</t>
  </si>
  <si>
    <t>MEALS/BB/12/4/17</t>
  </si>
  <si>
    <t>A+ Invitational Material</t>
  </si>
  <si>
    <t>WEST TEXAS WINDSHIELDS</t>
  </si>
  <si>
    <t>Windshield replaced - Exped</t>
  </si>
  <si>
    <t>ALPINE AVALANCHE</t>
  </si>
  <si>
    <t xml:space="preserve">PUBLIC NOTICE - FIRST </t>
  </si>
  <si>
    <t>ATHLETIC SUPPLIES</t>
  </si>
  <si>
    <t>BASKETBALL SUPPLIES</t>
  </si>
  <si>
    <t>FUEL/BARLOW/STUDENT</t>
  </si>
  <si>
    <t>FUEL/BB GAME</t>
  </si>
  <si>
    <t>FUEL/CONSTRUCTION WS</t>
  </si>
  <si>
    <t>CHICKEN FEED</t>
  </si>
  <si>
    <t>replace heater part gym area</t>
  </si>
  <si>
    <t>DEF for new bus</t>
  </si>
  <si>
    <t>AA CHEMICAL</t>
  </si>
  <si>
    <t>cleaning sup, mops for Gym</t>
  </si>
  <si>
    <t>Custodial sup Candy</t>
  </si>
  <si>
    <t>BASKETBALL UNIFORMS</t>
  </si>
  <si>
    <t>PO Created by Req: 061592</t>
  </si>
  <si>
    <t>RICHARD KENT BARLOW</t>
  </si>
  <si>
    <t>BB bookkeeper</t>
  </si>
  <si>
    <t>BEN E KEITH DFW</t>
  </si>
  <si>
    <t>UIL meal sup to feed 600</t>
  </si>
  <si>
    <t>back light replacement wht bus</t>
  </si>
  <si>
    <t>47 Lap Belts installed</t>
  </si>
  <si>
    <t>JONATHAN DURAN</t>
  </si>
  <si>
    <t>BB OFFICIAL/12/11/2017</t>
  </si>
  <si>
    <t>FLINN SCIENTIFIC INC.</t>
  </si>
  <si>
    <t>SCIENCE MATERIALS</t>
  </si>
  <si>
    <t>Bus physical - Jarrell</t>
  </si>
  <si>
    <t>ISAAC GALLEGO</t>
  </si>
  <si>
    <t>BB OFFICIAL 12/18/17</t>
  </si>
  <si>
    <t>BRADLEY GWATNEY</t>
  </si>
  <si>
    <t xml:space="preserve">CHRISTMAS PROG </t>
  </si>
  <si>
    <t>MEALS/UTPB/STUDENTS</t>
  </si>
  <si>
    <t>MEALS/SRSU CAREER DAY</t>
  </si>
  <si>
    <t>Veteran's Program refreshments</t>
  </si>
  <si>
    <t>MEALS/BB/ALPINE</t>
  </si>
  <si>
    <t>Supt travel training 1 nite</t>
  </si>
  <si>
    <t>Bus Mgr training lodging 1nite</t>
  </si>
  <si>
    <t>icescraper, PVC pipe, fastmelt</t>
  </si>
  <si>
    <t xml:space="preserve">CLASSROOM MATERIALS &amp; </t>
  </si>
  <si>
    <t>RANGRA THEATER</t>
  </si>
  <si>
    <t>4th/5th movie tickets</t>
  </si>
  <si>
    <t>FY SERVICES</t>
  </si>
  <si>
    <t>PURCHASING COOPERATIVE</t>
  </si>
  <si>
    <t>TAX FORMS</t>
  </si>
  <si>
    <t>Refrigerator</t>
  </si>
  <si>
    <t>WELLSYSTEMS</t>
  </si>
  <si>
    <t>ACA REPORTING</t>
  </si>
  <si>
    <t>KEENAN WRIGHT</t>
  </si>
  <si>
    <t>TILT FLAT WALL MOUNT</t>
  </si>
  <si>
    <t>PO Created by Req: 061559</t>
  </si>
  <si>
    <t>BROADBAND/INTERNET/VOIP</t>
  </si>
  <si>
    <t>SANTIAGO CANTU JR</t>
  </si>
  <si>
    <t>BB OFFICIAL 12/19/17</t>
  </si>
  <si>
    <t>CRAIG CARTER</t>
  </si>
  <si>
    <t>PRIVATE TRANSPORTATION</t>
  </si>
  <si>
    <t>PAUL CASIAS</t>
  </si>
  <si>
    <t>JARED CUNNINGHAM</t>
  </si>
  <si>
    <t>FUEL CHARGES</t>
  </si>
  <si>
    <t>SUPPLIES/MATERIALS</t>
  </si>
  <si>
    <t xml:space="preserve">TIER III EDLINK/TECH </t>
  </si>
  <si>
    <t>Install Smart Board -Elem</t>
  </si>
  <si>
    <t xml:space="preserve">UNIVERSITY </t>
  </si>
  <si>
    <t>UIL MATERIALS</t>
  </si>
  <si>
    <t>HAYES WEST</t>
  </si>
  <si>
    <t>3/PRIVATE TRANSPORTATION</t>
  </si>
  <si>
    <t>KAY WHITLEY</t>
  </si>
  <si>
    <t>CPR training seniors</t>
  </si>
  <si>
    <t>Dust mop frames, cleaning rags</t>
  </si>
  <si>
    <t>EPSON PROJ LAMP &amp; FILTER</t>
  </si>
  <si>
    <t>Fuel for bus return- Lubbock</t>
  </si>
  <si>
    <t>OFFICIAL/1/12/18</t>
  </si>
  <si>
    <t>OFFICIAL 1/11/18</t>
  </si>
  <si>
    <t>ROLANDO CHAVEZ</t>
  </si>
  <si>
    <t>OFFICIAL 1/16/18</t>
  </si>
  <si>
    <t>AED services</t>
  </si>
  <si>
    <t>GREEN PLANET INC.</t>
  </si>
  <si>
    <t>CHEMICAL DISPOSAL</t>
  </si>
  <si>
    <t>certified postage mailing, RR</t>
  </si>
  <si>
    <t>Materials-chicken coop maint</t>
  </si>
  <si>
    <t>Mentoring Minds</t>
  </si>
  <si>
    <t xml:space="preserve">REDING/WRITING/SOC </t>
  </si>
  <si>
    <t>maint sup</t>
  </si>
  <si>
    <t>MSB</t>
  </si>
  <si>
    <t>ADMINISTRATIVE SVS</t>
  </si>
  <si>
    <t>CLASSROOM SUPPLIES</t>
  </si>
  <si>
    <t>copy paper 30 cases</t>
  </si>
  <si>
    <t>WORKSITE POSTINGS</t>
  </si>
  <si>
    <t xml:space="preserve">THOMPSON Print &amp; Mailing </t>
  </si>
  <si>
    <t xml:space="preserve">CHECKS/MAINTENANCE </t>
  </si>
  <si>
    <t>OFFICIAL 1/9/18</t>
  </si>
  <si>
    <t>ANTUAN T WASHINGTON</t>
  </si>
  <si>
    <t>AEP TEXAS</t>
  </si>
  <si>
    <t>5 LIGHT POLES</t>
  </si>
  <si>
    <t xml:space="preserve">Agency 405 Crime Records </t>
  </si>
  <si>
    <t>Crimmnal check</t>
  </si>
  <si>
    <t>HS BB meals 1/23/18</t>
  </si>
  <si>
    <t>CDW GOVERNMENT</t>
  </si>
  <si>
    <t xml:space="preserve">ADOPE 2 MONTHS LICENSE </t>
  </si>
  <si>
    <t xml:space="preserve">SOPHOS SG 310 FULL GUARD </t>
  </si>
  <si>
    <t>THE J AND P BAR &amp; GRILL</t>
  </si>
  <si>
    <t>MEALS/BB COMSTOCK</t>
  </si>
  <si>
    <t>College txbk</t>
  </si>
  <si>
    <t>DC college books</t>
  </si>
  <si>
    <t>NHS Conf Springfield, 3 stds</t>
  </si>
  <si>
    <t>BB OFFICIAL/1/22/18</t>
  </si>
  <si>
    <t xml:space="preserve">POSTMASTER - US POSTAL </t>
  </si>
  <si>
    <t>Reimb meal NHS</t>
  </si>
  <si>
    <t>Policy On Line Annual Support</t>
  </si>
  <si>
    <t xml:space="preserve">Policy ServMembership </t>
  </si>
  <si>
    <t>maint on Elem heater</t>
  </si>
  <si>
    <t>MAINT -HEATER RM 10</t>
  </si>
  <si>
    <t>SCOREBOOKS 6 GAMES</t>
  </si>
  <si>
    <t>OFFICIAL 1/30/18</t>
  </si>
  <si>
    <t>DELTA EDUCATION</t>
  </si>
  <si>
    <t>FOSS Sci Kits</t>
  </si>
  <si>
    <t>VOIP SERVICES</t>
  </si>
  <si>
    <t>Music supp</t>
  </si>
  <si>
    <t>CARTRIDGERS/MATERIALS/W</t>
  </si>
  <si>
    <t>RANKIN ISD</t>
  </si>
  <si>
    <t>MEALS/BB/01/19/2018</t>
  </si>
  <si>
    <t>SANDERSON ISD</t>
  </si>
  <si>
    <t>HS BB meals 1/26/18</t>
  </si>
  <si>
    <t>3 CHROMEBOOK CARTS</t>
  </si>
  <si>
    <t>Chrome bks, Google License</t>
  </si>
  <si>
    <t>Erate posting adv</t>
  </si>
  <si>
    <t>VOIP/INTERNET SERVICES</t>
  </si>
  <si>
    <t>2018 Bus Registration fee</t>
  </si>
  <si>
    <t>JH BB meals 1/29/18</t>
  </si>
  <si>
    <t>BB OFFICIAL 2/9/18</t>
  </si>
  <si>
    <t>ADOBE LICENSE RENEWAL</t>
  </si>
  <si>
    <t>Asbestos Managemnt Plan</t>
  </si>
  <si>
    <t xml:space="preserve">ERNESTO'S SERVICE </t>
  </si>
  <si>
    <t>fixed flat on van</t>
  </si>
  <si>
    <t>Supt -fuel Mid Winter Conf</t>
  </si>
  <si>
    <t>RUBEN GONZALEZ</t>
  </si>
  <si>
    <t>Reimb for regist, inspection</t>
  </si>
  <si>
    <t>5/50# Chicken feed/wood shavin</t>
  </si>
  <si>
    <t>JUST ENERGY</t>
  </si>
  <si>
    <t>EARLY TERMINATION FEE</t>
  </si>
  <si>
    <t>TERMINATION FEE</t>
  </si>
  <si>
    <t>Campbell Biology DC</t>
  </si>
  <si>
    <t>College textbook rental</t>
  </si>
  <si>
    <t>Lodging Supt Mid Winter Conf</t>
  </si>
  <si>
    <t>PCM DIRECT/6/10/17</t>
  </si>
  <si>
    <t>McCoy's Building Supply</t>
  </si>
  <si>
    <t>Supplies -fence portable bldg</t>
  </si>
  <si>
    <t>ART SUPPLIES</t>
  </si>
  <si>
    <t>DC Spring 2018 Tuition</t>
  </si>
  <si>
    <t>DC tuition</t>
  </si>
  <si>
    <t>PSAT/NMSQT</t>
  </si>
  <si>
    <t>PSAT TEST</t>
  </si>
  <si>
    <t>GEORGE SALGADO</t>
  </si>
  <si>
    <t>BB OFFICIAL/2/2/18</t>
  </si>
  <si>
    <t>BB OFFICIAL/1/30/18</t>
  </si>
  <si>
    <t>School Specialty Marketplace</t>
  </si>
  <si>
    <t>Supplies</t>
  </si>
  <si>
    <t>TASA</t>
  </si>
  <si>
    <t>Supt Mid Winter Conf</t>
  </si>
  <si>
    <t xml:space="preserve">TASA/TASB CONVENTION </t>
  </si>
  <si>
    <t>2018 membership fee</t>
  </si>
  <si>
    <t>MEMBERSHIP</t>
  </si>
  <si>
    <t>GEORGE VALERIO</t>
  </si>
  <si>
    <t>REPAIRS/LAPTOP/PROJECTO</t>
  </si>
  <si>
    <t>Laptop</t>
  </si>
  <si>
    <t>JH Track Meals -2/22/18</t>
  </si>
  <si>
    <t>JH Track Meet B.V. entry fee</t>
  </si>
  <si>
    <t>ANNUAL LEASE/OXY/ACT</t>
  </si>
  <si>
    <t>FORT STOCKTON ISD</t>
  </si>
  <si>
    <t>HS Track Entry fee 2/24</t>
  </si>
  <si>
    <t>batteries, glue,keys,antbait</t>
  </si>
  <si>
    <t>Oil Change White Bus</t>
  </si>
  <si>
    <t>Scissors 30ct</t>
  </si>
  <si>
    <t>TECH/OFFICE/SANITIZATION</t>
  </si>
  <si>
    <t>Math training</t>
  </si>
  <si>
    <t>Headphones set of 12 - Hunt</t>
  </si>
  <si>
    <t xml:space="preserve">TEXAS EDUCATIONAL </t>
  </si>
  <si>
    <t>UIL - SOCIAL STD</t>
  </si>
  <si>
    <t>Custodial Supplies</t>
  </si>
  <si>
    <t>2017 Athletic Banquet Plaques</t>
  </si>
  <si>
    <t>BUSH'S CHICKEN</t>
  </si>
  <si>
    <t>MEALS/HS TRACK/2/24</t>
  </si>
  <si>
    <t>HS Track Meals</t>
  </si>
  <si>
    <t>CYNLINDER RENTAL</t>
  </si>
  <si>
    <t>Oil Change Expedition</t>
  </si>
  <si>
    <t>HS Tennis Meet - Meals</t>
  </si>
  <si>
    <t>JH BB tourn travel - Singh</t>
  </si>
  <si>
    <t>ABACUS/UTPB MTG - G SINGH</t>
  </si>
  <si>
    <t>IPM Training travel fuel</t>
  </si>
  <si>
    <t>COY GONZALEZ</t>
  </si>
  <si>
    <t>Fuel Reimb - Reg 18 trip</t>
  </si>
  <si>
    <t>Grandfalls-Royalty ISD</t>
  </si>
  <si>
    <t>JH Track Meals</t>
  </si>
  <si>
    <t>HS Track entry fee</t>
  </si>
  <si>
    <t>JH Track entry fee</t>
  </si>
  <si>
    <t>J&amp;G STATION/GRILL</t>
  </si>
  <si>
    <t>Batteries per Ms. Singh, UIL</t>
  </si>
  <si>
    <t>Welding materials for project</t>
  </si>
  <si>
    <t>UTPB DC Textbk</t>
  </si>
  <si>
    <t>Homecoming Decorations</t>
  </si>
  <si>
    <t>MEALS/BB/GRANDFALLS</t>
  </si>
  <si>
    <t>IPM/HOTEL TRAINING</t>
  </si>
  <si>
    <t>Maint Supplies</t>
  </si>
  <si>
    <t>Elem Sci Training</t>
  </si>
  <si>
    <t>DTC regist fee - Springfield</t>
  </si>
  <si>
    <t>Dist Testing Training - Singh</t>
  </si>
  <si>
    <t>IT Services</t>
  </si>
  <si>
    <t xml:space="preserve">SCHOLASTIC BOOK FAIRS - </t>
  </si>
  <si>
    <t>BOOK FIAR PROCEEDS</t>
  </si>
  <si>
    <t>HS Tennis Tourn Meals 3/2-3</t>
  </si>
  <si>
    <t>Sul Ross State University</t>
  </si>
  <si>
    <t>Job Fair Registration Fee</t>
  </si>
  <si>
    <t>HS Track Entry Fee</t>
  </si>
  <si>
    <t>JH Track Entry Fee</t>
  </si>
  <si>
    <t>HS Track Meet-Meals - 3/2/18</t>
  </si>
  <si>
    <t xml:space="preserve">TEXAS A&amp;M AGRILIFE </t>
  </si>
  <si>
    <t>IPM 2 day Training</t>
  </si>
  <si>
    <t>Region 10 ESC - TXVSN</t>
  </si>
  <si>
    <t>Online Classes</t>
  </si>
  <si>
    <t>Registration fee Job Fair</t>
  </si>
  <si>
    <t>PROJECTOR</t>
  </si>
  <si>
    <t>BACKGROUND SEARCH</t>
  </si>
  <si>
    <t>HS Tennis Entry Fee Tourn -3/2</t>
  </si>
  <si>
    <t>HS BB meals  2/13/18</t>
  </si>
  <si>
    <t>Cookies/Milk for Elem Readnite</t>
  </si>
  <si>
    <t>Books for Elem Classroom</t>
  </si>
  <si>
    <t>Sub Training - refreshments</t>
  </si>
  <si>
    <t>Hist Fair Materials</t>
  </si>
  <si>
    <t>MEALS/HISTORY FAIR</t>
  </si>
  <si>
    <t>Registration Fee UTEP Job Fair</t>
  </si>
  <si>
    <t>Wix Events, Wix Unlimited Web</t>
  </si>
  <si>
    <t>Music Supplies</t>
  </si>
  <si>
    <t>OASIS CAFE</t>
  </si>
  <si>
    <t>School Board Meeting Meal</t>
  </si>
  <si>
    <t>gen supplies</t>
  </si>
  <si>
    <t>Bottle water - Athletics</t>
  </si>
  <si>
    <t>offc supp</t>
  </si>
  <si>
    <t>ALPINE HIGH SCHOOL</t>
  </si>
  <si>
    <t>HS Track Entry Fee 3/24/18</t>
  </si>
  <si>
    <t xml:space="preserve">MS OFFICE WINDOWS ED </t>
  </si>
  <si>
    <t>IN &amp; OUT RENTAL INC.</t>
  </si>
  <si>
    <t>Chain, oil</t>
  </si>
  <si>
    <t>Dictionaries - Springfield</t>
  </si>
  <si>
    <t>HS UIL Dinner Meal Springfield</t>
  </si>
  <si>
    <t>Hist Fair Registration fee</t>
  </si>
  <si>
    <t>SAND FOR SAND PIT</t>
  </si>
  <si>
    <t>Wood Stain for PicNic Tables</t>
  </si>
  <si>
    <t>Exchange Fence Gate 5ft</t>
  </si>
  <si>
    <t>Sander and Sanding Supplies</t>
  </si>
  <si>
    <t>HS Track Meals 3/24/18</t>
  </si>
  <si>
    <t>JH Track Meals 3/22/18</t>
  </si>
  <si>
    <t>Student ID's</t>
  </si>
  <si>
    <t>Wink Tennis Boosters</t>
  </si>
  <si>
    <t>HS Tennis Meals 3/22/18</t>
  </si>
  <si>
    <t>WINK-LOVING I.S.D.</t>
  </si>
  <si>
    <t>HS Tennis Entry Fee 3/22/18</t>
  </si>
  <si>
    <t>WTG FUELS, INC</t>
  </si>
  <si>
    <t>Propane</t>
  </si>
  <si>
    <t>Judy Briones</t>
  </si>
  <si>
    <t>NSBS Bd Conf -Travel  Meals</t>
  </si>
  <si>
    <t>Laser Jet Ink Cartridges</t>
  </si>
  <si>
    <t>Microfiber Cloths</t>
  </si>
  <si>
    <t>JH Dist Track Meals</t>
  </si>
  <si>
    <t>TRACK MEALS</t>
  </si>
  <si>
    <t xml:space="preserve">EDGAR PROCUREMENT </t>
  </si>
  <si>
    <t>HS Tennis 2 day Tourn 3/27,28</t>
  </si>
  <si>
    <t>ACA REPORTING/IRS REGS</t>
  </si>
  <si>
    <t>LAPTOP CHARGERS</t>
  </si>
  <si>
    <t>Treatment -Football Field</t>
  </si>
  <si>
    <t>Track Field Treatment</t>
  </si>
  <si>
    <t>GRACIE GALINDO</t>
  </si>
  <si>
    <t xml:space="preserve">CK REISSUE/PRIOR YEAR </t>
  </si>
  <si>
    <t>Chicken Feed, Wood Shavings</t>
  </si>
  <si>
    <t>Chicken Feed/Wood Shavings</t>
  </si>
  <si>
    <t>Painting supplies/Paint</t>
  </si>
  <si>
    <t>Elec Water Heater Elem</t>
  </si>
  <si>
    <t>SPRING 2018 TUITION</t>
  </si>
  <si>
    <t>UIL meals - HS</t>
  </si>
  <si>
    <t>HS Track Dist Mt -4/5</t>
  </si>
  <si>
    <t>READ TO THEM</t>
  </si>
  <si>
    <t>Reading books</t>
  </si>
  <si>
    <t>TECH/ERATE/2017-2018</t>
  </si>
  <si>
    <t>Dist Tennis Mt - Meals 4/6,7</t>
  </si>
  <si>
    <t>Professional services rendered</t>
  </si>
  <si>
    <t>HP Chromebooks</t>
  </si>
  <si>
    <t xml:space="preserve">CK REISSUE/PY TRACK </t>
  </si>
  <si>
    <t>JESSICA KRETSCHMER</t>
  </si>
  <si>
    <t xml:space="preserve">CK REISSUE/TRVL REIMB </t>
  </si>
  <si>
    <t>Bio Lab Access Card - DC</t>
  </si>
  <si>
    <t xml:space="preserve">KEYBOARD/STUDENT </t>
  </si>
  <si>
    <t>Student Dictionaries</t>
  </si>
  <si>
    <t>SRSU College Tour Meals</t>
  </si>
  <si>
    <t>History Fair Supples</t>
  </si>
  <si>
    <t>HOTEL/MEALS/UIL</t>
  </si>
  <si>
    <t>Hilton Garden Inn-UTEP JobFair</t>
  </si>
  <si>
    <t>Job Fair UTEP parking fee</t>
  </si>
  <si>
    <t>NSBA Board Conf -SA (JudyB)</t>
  </si>
  <si>
    <t>Keyboard Keys</t>
  </si>
  <si>
    <t>Maint Supp</t>
  </si>
  <si>
    <t xml:space="preserve">CK </t>
  </si>
  <si>
    <t>RAY &amp; WOOD</t>
  </si>
  <si>
    <t>2014 Inv Local Tax Roll Audit</t>
  </si>
  <si>
    <t>JH Tennis Tourn Meals</t>
  </si>
  <si>
    <t>TEDFORD'S</t>
  </si>
  <si>
    <t>New class room door handle</t>
  </si>
  <si>
    <t>JOSTENS INC</t>
  </si>
  <si>
    <t>VAL/SAL NECK MEDALS</t>
  </si>
  <si>
    <t>LAKESHORE</t>
  </si>
  <si>
    <t>Elem - Math/Sci supplies</t>
  </si>
  <si>
    <t>ebook for dual credit</t>
  </si>
  <si>
    <t>Hist Fair Meals - Austin</t>
  </si>
  <si>
    <t>Hist Fair Lodging- Austin</t>
  </si>
  <si>
    <t>Regional Track Meals- SA</t>
  </si>
  <si>
    <t>HS Track Regional SA - Hotel</t>
  </si>
  <si>
    <t>FUEL/HISTORY FAIR PREPS</t>
  </si>
  <si>
    <t>Maint sup</t>
  </si>
  <si>
    <t>CARTRIDGES/MATERIALS/SU</t>
  </si>
  <si>
    <t>Colored Folders - Supt Office</t>
  </si>
  <si>
    <t>Certf paper, covers, timecards</t>
  </si>
  <si>
    <t xml:space="preserve">REGION 12 EDUCATION </t>
  </si>
  <si>
    <t>E-Rate Works Fee</t>
  </si>
  <si>
    <t xml:space="preserve">SHI GOVERNMENT </t>
  </si>
  <si>
    <t>Ipads/Covers</t>
  </si>
  <si>
    <t xml:space="preserve">SUL ROSS STATE </t>
  </si>
  <si>
    <t>Spring Workshop Regist Fee</t>
  </si>
  <si>
    <t>HS Regional Track Fuel</t>
  </si>
  <si>
    <t>Job Fair UTEP - Ms Singh</t>
  </si>
  <si>
    <t>8x10 prints for Art Show</t>
  </si>
  <si>
    <t>STOCKTON FORD, INC</t>
  </si>
  <si>
    <t>Expedition-Airbag light</t>
  </si>
  <si>
    <t>JH Dist Tennis Tourn Meals</t>
  </si>
  <si>
    <t>Football Concession Roof</t>
  </si>
  <si>
    <t>Custodial paper supplies</t>
  </si>
  <si>
    <t xml:space="preserve">REPAIRS/STUDENT </t>
  </si>
  <si>
    <t>Apple Inc.</t>
  </si>
  <si>
    <t>5 - Ipads and Covers</t>
  </si>
  <si>
    <t>Athletic Banquet Dinner</t>
  </si>
  <si>
    <t>JOSTENS</t>
  </si>
  <si>
    <t>Honor Stole, Honor Cords-Grads</t>
  </si>
  <si>
    <t>Diplomas/Covers</t>
  </si>
  <si>
    <t>MEALS/SRSU/TOUR</t>
  </si>
  <si>
    <t>Meals - HOBY Conf</t>
  </si>
  <si>
    <t>State Track Mt/ Lodging/Meals</t>
  </si>
  <si>
    <t>Teacher Appreciation</t>
  </si>
  <si>
    <t>Popcorn - TX Read One</t>
  </si>
  <si>
    <t>Clear lights for Banquet Decor</t>
  </si>
  <si>
    <t>Glitter spray, foil tape</t>
  </si>
  <si>
    <t>2 Tires for Expedition</t>
  </si>
  <si>
    <t>bulletin paper, scissors</t>
  </si>
  <si>
    <t>TIMECLOCK PLUS</t>
  </si>
  <si>
    <t>Software Maint Renewal</t>
  </si>
  <si>
    <t>Atheltic Banquet Plaques</t>
  </si>
  <si>
    <t>HS Tennis entry fee</t>
  </si>
  <si>
    <t>HS Tennis Tourn Entry Fee 2/20</t>
  </si>
  <si>
    <t>chicken feed, wood shavings</t>
  </si>
  <si>
    <t xml:space="preserve">Replace damaged skylights </t>
  </si>
  <si>
    <t xml:space="preserve">MAINT SUPPLIES/SKYLIGHT </t>
  </si>
  <si>
    <t xml:space="preserve">NATIONAL SCHOOL BOARD </t>
  </si>
  <si>
    <t>Board Conference Judy</t>
  </si>
  <si>
    <t>RUBEN ORTEGA</t>
  </si>
  <si>
    <t>Leveling Dirt/Debris Piles</t>
  </si>
  <si>
    <t>Removal of bulk debris</t>
  </si>
  <si>
    <t>Ink Cartridges HP 410A</t>
  </si>
  <si>
    <t>Group work table Elem-Hunt</t>
  </si>
  <si>
    <t>FEE/DIST TESTING COORD</t>
  </si>
  <si>
    <t>5/24&amp;25 2@$350.00/NURSE</t>
  </si>
  <si>
    <t>5/24&amp;25 MILEAGE</t>
  </si>
  <si>
    <t>5/24&amp;25/HOTEL</t>
  </si>
  <si>
    <t>AR Field Trip-Midland</t>
  </si>
  <si>
    <t>SRSU CAREER FAIR</t>
  </si>
  <si>
    <t xml:space="preserve">TRAVEL/COLLEGE CAMPUS </t>
  </si>
  <si>
    <t>MS FIELD TRIP/CDRI/FEES</t>
  </si>
  <si>
    <t xml:space="preserve">MS FIELD </t>
  </si>
  <si>
    <t>Staff Develp Supp - Amazon</t>
  </si>
  <si>
    <t>Staff Develpmt Breakfast</t>
  </si>
  <si>
    <t>PROF DEV/COSTS/PO061894</t>
  </si>
  <si>
    <t>BUS DRIVER TRNG/NOVOSAD</t>
  </si>
  <si>
    <t>Athletic Awards Banquet Suppl</t>
  </si>
  <si>
    <t>School TableCloth Cleaned</t>
  </si>
  <si>
    <t>Staff End of School Party</t>
  </si>
  <si>
    <t>Staff Development supplies</t>
  </si>
  <si>
    <t>1 Case of Tennis Balls/Hoppers</t>
  </si>
  <si>
    <t>STEM Sci Lab Vist in Wink</t>
  </si>
  <si>
    <t>HOBY Trip to Pick up Josh</t>
  </si>
  <si>
    <t>HOBY Conf in El Paso</t>
  </si>
  <si>
    <t>State Track in Austin</t>
  </si>
  <si>
    <t>Fix roof in Shop Class</t>
  </si>
  <si>
    <t>SLI Training Supt</t>
  </si>
  <si>
    <t>SLI Registration Fees (4)</t>
  </si>
  <si>
    <t>SUMMER CONFERENCE</t>
  </si>
  <si>
    <t>Elem Aud AC Control Board</t>
  </si>
  <si>
    <t>AC Repairs Elem Classroom</t>
  </si>
  <si>
    <t>Buffing pads, Floor Wax-Seal</t>
  </si>
  <si>
    <t>SLI Travel Meals</t>
  </si>
  <si>
    <t>Elem Library - supplies</t>
  </si>
  <si>
    <t>TASBO Summer Trng Bus Mgr</t>
  </si>
  <si>
    <t>SLI- Hotel Parking Fees (4)</t>
  </si>
  <si>
    <t>Board SLI - Lodging</t>
  </si>
  <si>
    <t>VICTORIA SANCHEZ</t>
  </si>
  <si>
    <t xml:space="preserve">TASBO TRNG BUS MGR - </t>
  </si>
  <si>
    <t>Internet Connection</t>
  </si>
  <si>
    <t>FUEL/SLI</t>
  </si>
  <si>
    <t>SLI Travel - Meals</t>
  </si>
  <si>
    <t>ACT</t>
  </si>
  <si>
    <t>6 ACT Tests - Spring</t>
  </si>
  <si>
    <t>FORT STOCKTON PIONEER</t>
  </si>
  <si>
    <t>Legal Adv</t>
  </si>
  <si>
    <t>College Career Readiness Conf</t>
  </si>
  <si>
    <t>Board Travel SLI - 4 bd member</t>
  </si>
  <si>
    <t>Bus Mgr Travel TASBO Conf</t>
  </si>
  <si>
    <t>Grounds supp</t>
  </si>
  <si>
    <t>Hotel -College/Career Conf</t>
  </si>
  <si>
    <t>SLI Conf- Ms. Singh lodging</t>
  </si>
  <si>
    <t>Hotel Parking Fees- SLI</t>
  </si>
  <si>
    <t>Maint supplies</t>
  </si>
  <si>
    <t>Meals College /Career Conf</t>
  </si>
  <si>
    <t>Gym Electrical work</t>
  </si>
  <si>
    <t>Professional Service -Asbestos</t>
  </si>
  <si>
    <t>CUTTING eDGe Advertising</t>
  </si>
  <si>
    <t>Supt - Business Cards</t>
  </si>
  <si>
    <t>SUPPLIES/MATERIALS/CARTR</t>
  </si>
  <si>
    <t>2017-18 TASA Expenses</t>
  </si>
  <si>
    <t>Hot Dog Meet/Greet Students</t>
  </si>
  <si>
    <t>NOTARY APP/FEES/BOOK</t>
  </si>
  <si>
    <t>Google</t>
  </si>
  <si>
    <t>Membership Fee</t>
  </si>
  <si>
    <t>Maint New Supt Office</t>
  </si>
  <si>
    <t>TEACHER LAPTOPS</t>
  </si>
  <si>
    <t>COLLEGE BOARD</t>
  </si>
  <si>
    <t>SAT Tests - March 2018</t>
  </si>
  <si>
    <t>FOSS KITS</t>
  </si>
  <si>
    <t>Cork Roll for Elem Classroom</t>
  </si>
  <si>
    <t xml:space="preserve">RAINWATER MOTOR </t>
  </si>
  <si>
    <t>Expedition trailer connections</t>
  </si>
  <si>
    <t>Stoles/Cords</t>
  </si>
  <si>
    <t xml:space="preserve">COLLEGE FLAGS/SPORT </t>
  </si>
  <si>
    <t>COLLEGE FLAGS/FANS EDGE</t>
  </si>
  <si>
    <t>Staff Development Donuts</t>
  </si>
  <si>
    <t>Water for CC</t>
  </si>
  <si>
    <t>Meals for CC</t>
  </si>
  <si>
    <t>Pizza - Board Training</t>
  </si>
  <si>
    <t>DISP FEE</t>
  </si>
  <si>
    <t>Presidio High School</t>
  </si>
  <si>
    <t>Cross Co entry fee</t>
  </si>
  <si>
    <t>Paint, Felt, PosterBd-Hall Dec</t>
  </si>
  <si>
    <t>Curriculum Staff Development</t>
  </si>
  <si>
    <t>Bus Training 20 hr</t>
  </si>
  <si>
    <t>Contract Labor New Supt Office</t>
  </si>
  <si>
    <t>Staff Deveolpment Luncheon</t>
  </si>
  <si>
    <t>SRSU Flag</t>
  </si>
  <si>
    <t>Pick, Cut, ReKey all Locks</t>
  </si>
  <si>
    <t>The College Board</t>
  </si>
  <si>
    <t>TSI Testing Units</t>
  </si>
  <si>
    <t>CPR Staff Training</t>
  </si>
  <si>
    <t>Staff Development Writing</t>
  </si>
  <si>
    <t>MARFA 4-H CLUB</t>
  </si>
  <si>
    <t>50 Barred Rock Pullet Chicks</t>
  </si>
  <si>
    <t>BUDGET &amp; TAX RATE NOTICE</t>
  </si>
  <si>
    <t>VOLLEYBALL KNEE PADS</t>
  </si>
  <si>
    <t xml:space="preserve">RANGE </t>
  </si>
  <si>
    <t>FUEL/UIL MTG/FT. STOCKTON</t>
  </si>
  <si>
    <t>MEALS/UTPB</t>
  </si>
  <si>
    <t>PARKING/BADGES</t>
  </si>
  <si>
    <t>VOLLEYBALL MEALS</t>
  </si>
  <si>
    <t>FUEL/VB</t>
  </si>
  <si>
    <t>BRD TRNG MEAL</t>
  </si>
  <si>
    <t>PARTS/FACILITIES</t>
  </si>
  <si>
    <t>NEW TEACHER REQ TRNG</t>
  </si>
  <si>
    <t>REGION XIII-ESC</t>
  </si>
  <si>
    <t>BRD TRNG/SB1566</t>
  </si>
  <si>
    <t>Responsive Learning</t>
  </si>
  <si>
    <t>T-TESS CUBE 8/10/2019</t>
  </si>
  <si>
    <t>MARKERBOARD TOP TABLES</t>
  </si>
  <si>
    <t>TUITION/SUMMER SCHOOL</t>
  </si>
  <si>
    <t>LEGAL SERVICES</t>
  </si>
  <si>
    <t xml:space="preserve">CRIME RECORDS/CCH </t>
  </si>
  <si>
    <t>AUGUST 20 &amp; 21 SERVICES</t>
  </si>
  <si>
    <t>CHEMISTRY/MW</t>
  </si>
  <si>
    <t>CRAFT TRAINING CENTER</t>
  </si>
  <si>
    <t>CERTIFICAITON/IB,EB,JH</t>
  </si>
  <si>
    <t xml:space="preserve">NEON CONNECT &amp; BOOK </t>
  </si>
  <si>
    <t xml:space="preserve">ELECTION AUDIO </t>
  </si>
  <si>
    <t>BARNES AND NOBLE, INC</t>
  </si>
  <si>
    <t xml:space="preserve">BOOKS/BOY WHO </t>
  </si>
  <si>
    <t xml:space="preserve">TASB RISK MANAGEMENT </t>
  </si>
  <si>
    <t>WORKERS COMP PAYMENT</t>
  </si>
  <si>
    <t>QRTRLY PAYMENT</t>
  </si>
  <si>
    <t>1ST QUARTER PAYMENT</t>
  </si>
  <si>
    <t>UC ANNUAL PAYMENT</t>
  </si>
  <si>
    <t>WORKERS COMP/PR AUDIT</t>
  </si>
  <si>
    <t xml:space="preserve">ACCELERATED INST </t>
  </si>
  <si>
    <t>Fan Cloth Products LLC</t>
  </si>
  <si>
    <t>Fundraisers</t>
  </si>
  <si>
    <t>Sr/High School Project Grad</t>
  </si>
  <si>
    <t>Marathon ISD 2019-2020 Check Register
District Issued and EFT Payments</t>
  </si>
  <si>
    <t>Fund 101 - Child Nutrition/School Breakfast Program</t>
  </si>
  <si>
    <t>Date</t>
  </si>
  <si>
    <t>Check No.</t>
  </si>
  <si>
    <t>Payee</t>
  </si>
  <si>
    <t xml:space="preserve">Amount </t>
  </si>
  <si>
    <t>Purpose</t>
  </si>
  <si>
    <t>September Total Amount</t>
  </si>
  <si>
    <t>October Total Amount</t>
  </si>
  <si>
    <t>November Total Amount</t>
  </si>
  <si>
    <t>December Total Amount</t>
  </si>
  <si>
    <t>January Total Amount</t>
  </si>
  <si>
    <t>February Total Amount</t>
  </si>
  <si>
    <t>March Total Amount</t>
  </si>
  <si>
    <t>April Total Amount</t>
  </si>
  <si>
    <t>May Total Amount</t>
  </si>
  <si>
    <t>June Total Amount</t>
  </si>
  <si>
    <t>July Total Amount</t>
  </si>
  <si>
    <t>August Total Amount</t>
  </si>
  <si>
    <t>Total Annual Disbursements</t>
  </si>
  <si>
    <t>Fund 199 - General Fund Maintenance &amp; Operations</t>
  </si>
  <si>
    <t>Food Items</t>
  </si>
  <si>
    <t>Non Food Items</t>
  </si>
  <si>
    <t>Fund 198 - Special Projects - Committed Fund Balance</t>
  </si>
  <si>
    <t>Total EFT/ACH Amounts</t>
  </si>
  <si>
    <t>EFT/ACH Payments</t>
  </si>
  <si>
    <t>June Total Amounts</t>
  </si>
  <si>
    <t>Fund 289 - Title IV, Part A - Subpart 1</t>
  </si>
  <si>
    <t>Fund 461 - Campus Activity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</si>
</sst>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10" xfId="0" applyFont="1" applyFill="1" applyBorder="1"/>
    <xf numFmtId="44" fontId="0" fillId="0" borderId="0" xfId="42" applyFont="1"/>
    <xf numFmtId="44" fontId="16" fillId="0" borderId="0" xfId="42" applyFont="1"/>
    <xf numFmtId="44" fontId="16" fillId="33" borderId="0" xfId="42" applyFont="1" applyFill="1"/>
    <xf numFmtId="44" fontId="16" fillId="33" borderId="10" xfId="42" applyFont="1" applyFill="1" applyBorder="1"/>
    <xf numFmtId="44" fontId="16" fillId="33" borderId="10" xfId="42" applyNumberFormat="1" applyFont="1" applyFill="1" applyBorder="1"/>
    <xf numFmtId="0" fontId="16" fillId="0" borderId="12" xfId="0" applyFont="1" applyBorder="1"/>
    <xf numFmtId="44" fontId="16" fillId="0" borderId="12" xfId="42" applyFont="1" applyBorder="1"/>
    <xf numFmtId="0" fontId="16" fillId="0" borderId="13" xfId="0" applyFont="1" applyBorder="1"/>
    <xf numFmtId="44" fontId="16" fillId="0" borderId="13" xfId="42" applyFont="1" applyBorder="1"/>
    <xf numFmtId="0" fontId="0" fillId="0" borderId="10" xfId="0" applyBorder="1"/>
    <xf numFmtId="44" fontId="0" fillId="0" borderId="10" xfId="42" applyFont="1" applyBorder="1"/>
    <xf numFmtId="0" fontId="16" fillId="33" borderId="11" xfId="0" applyFont="1" applyFill="1" applyBorder="1"/>
    <xf numFmtId="44" fontId="16" fillId="33" borderId="11" xfId="42" applyFont="1" applyFill="1" applyBorder="1"/>
    <xf numFmtId="0" fontId="16" fillId="0" borderId="13" xfId="0" applyFont="1" applyFill="1" applyBorder="1"/>
    <xf numFmtId="0" fontId="16" fillId="33" borderId="10" xfId="0" applyFont="1" applyFill="1" applyBorder="1" applyAlignment="1">
      <alignment horizontal="left"/>
    </xf>
    <xf numFmtId="0" fontId="16" fillId="0" borderId="12" xfId="0" applyFont="1" applyFill="1" applyBorder="1"/>
    <xf numFmtId="44" fontId="16" fillId="0" borderId="12" xfId="42" applyFont="1" applyFill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D460-31CE-45C9-81A3-9F48B44CD251}">
  <dimension ref="A1:E1070"/>
  <sheetViews>
    <sheetView tabSelected="1" topLeftCell="A1056" zoomScale="136" zoomScaleNormal="136" workbookViewId="0">
      <selection activeCell="C1069" sqref="C1069"/>
    </sheetView>
  </sheetViews>
  <sheetFormatPr defaultRowHeight="15" x14ac:dyDescent="0.25"/>
  <cols>
    <col min="1" max="1" width="9.85546875" customWidth="1"/>
    <col min="2" max="2" width="8.85546875" customWidth="1"/>
    <col min="3" max="3" width="27.28515625" customWidth="1"/>
    <col min="4" max="4" width="14.42578125" customWidth="1"/>
    <col min="5" max="5" width="35.7109375" customWidth="1"/>
  </cols>
  <sheetData>
    <row r="1" spans="1:5" ht="45" customHeight="1" thickBot="1" x14ac:dyDescent="0.35">
      <c r="A1" s="21" t="s">
        <v>773</v>
      </c>
      <c r="B1" s="22"/>
      <c r="C1" s="22"/>
      <c r="D1" s="22"/>
      <c r="E1" s="23"/>
    </row>
    <row r="2" spans="1:5" x14ac:dyDescent="0.25">
      <c r="A2" s="2" t="s">
        <v>774</v>
      </c>
      <c r="B2" s="2"/>
      <c r="C2" s="2"/>
      <c r="D2" s="2"/>
      <c r="E2" s="2"/>
    </row>
    <row r="3" spans="1:5" x14ac:dyDescent="0.25">
      <c r="A3" s="15" t="s">
        <v>775</v>
      </c>
      <c r="B3" s="15" t="s">
        <v>776</v>
      </c>
      <c r="C3" s="15" t="s">
        <v>777</v>
      </c>
      <c r="D3" s="15" t="s">
        <v>778</v>
      </c>
      <c r="E3" s="15" t="s">
        <v>779</v>
      </c>
    </row>
    <row r="4" spans="1:5" x14ac:dyDescent="0.25">
      <c r="A4" s="13">
        <v>20170925</v>
      </c>
      <c r="B4" s="13" t="str">
        <f>"023086"</f>
        <v>023086</v>
      </c>
      <c r="C4" s="13" t="s">
        <v>0</v>
      </c>
      <c r="D4" s="14">
        <v>375</v>
      </c>
      <c r="E4" s="13" t="s">
        <v>1</v>
      </c>
    </row>
    <row r="5" spans="1:5" x14ac:dyDescent="0.25">
      <c r="A5" s="13">
        <v>20170925</v>
      </c>
      <c r="B5" s="13" t="str">
        <f>"023086"</f>
        <v>023086</v>
      </c>
      <c r="C5" s="13" t="s">
        <v>0</v>
      </c>
      <c r="D5" s="14">
        <v>438.6</v>
      </c>
      <c r="E5" s="13" t="s">
        <v>1</v>
      </c>
    </row>
    <row r="6" spans="1:5" x14ac:dyDescent="0.25">
      <c r="C6" s="11" t="s">
        <v>780</v>
      </c>
      <c r="D6" s="12">
        <f>SUM(D4:D5)</f>
        <v>813.6</v>
      </c>
    </row>
    <row r="7" spans="1:5" x14ac:dyDescent="0.25">
      <c r="A7" s="13">
        <v>20171011</v>
      </c>
      <c r="B7" s="13" t="str">
        <f>"023124"</f>
        <v>023124</v>
      </c>
      <c r="C7" s="13" t="s">
        <v>0</v>
      </c>
      <c r="D7" s="14">
        <v>404.38</v>
      </c>
      <c r="E7" s="13" t="s">
        <v>1</v>
      </c>
    </row>
    <row r="8" spans="1:5" x14ac:dyDescent="0.25">
      <c r="A8" s="13">
        <v>20171019</v>
      </c>
      <c r="B8" s="13" t="str">
        <f>"023149"</f>
        <v>023149</v>
      </c>
      <c r="C8" s="13" t="s">
        <v>2</v>
      </c>
      <c r="D8" s="14">
        <v>10</v>
      </c>
      <c r="E8" s="13" t="s">
        <v>3</v>
      </c>
    </row>
    <row r="9" spans="1:5" x14ac:dyDescent="0.25">
      <c r="A9" s="13">
        <v>20171025</v>
      </c>
      <c r="B9" s="13" t="str">
        <f>"023154"</f>
        <v>023154</v>
      </c>
      <c r="C9" s="13" t="s">
        <v>0</v>
      </c>
      <c r="D9" s="14">
        <v>375.21</v>
      </c>
      <c r="E9" s="13" t="s">
        <v>1</v>
      </c>
    </row>
    <row r="10" spans="1:5" x14ac:dyDescent="0.25">
      <c r="A10" s="13">
        <v>20171031</v>
      </c>
      <c r="B10" s="13" t="str">
        <f>"023167"</f>
        <v>023167</v>
      </c>
      <c r="C10" s="13" t="s">
        <v>0</v>
      </c>
      <c r="D10" s="14">
        <v>381.88</v>
      </c>
      <c r="E10" s="13" t="s">
        <v>1</v>
      </c>
    </row>
    <row r="11" spans="1:5" x14ac:dyDescent="0.25">
      <c r="C11" s="11" t="s">
        <v>781</v>
      </c>
      <c r="D11" s="12">
        <f>SUM(D7:D10)</f>
        <v>1171.4699999999998</v>
      </c>
    </row>
    <row r="12" spans="1:5" x14ac:dyDescent="0.25">
      <c r="A12" s="13">
        <v>20171114</v>
      </c>
      <c r="B12" s="13" t="str">
        <f>"023194"</f>
        <v>023194</v>
      </c>
      <c r="C12" s="13" t="s">
        <v>4</v>
      </c>
      <c r="D12" s="14">
        <v>39.36</v>
      </c>
      <c r="E12" s="13" t="s">
        <v>5</v>
      </c>
    </row>
    <row r="13" spans="1:5" x14ac:dyDescent="0.25">
      <c r="A13" s="13">
        <v>20171128</v>
      </c>
      <c r="B13" s="13" t="str">
        <f>"023214"</f>
        <v>023214</v>
      </c>
      <c r="C13" s="13" t="s">
        <v>0</v>
      </c>
      <c r="D13" s="14">
        <v>736.68</v>
      </c>
      <c r="E13" s="13" t="s">
        <v>1</v>
      </c>
    </row>
    <row r="14" spans="1:5" x14ac:dyDescent="0.25">
      <c r="A14" s="13">
        <v>20171128</v>
      </c>
      <c r="B14" s="13" t="str">
        <f>"023214"</f>
        <v>023214</v>
      </c>
      <c r="C14" s="13" t="s">
        <v>0</v>
      </c>
      <c r="D14" s="14">
        <v>25.66</v>
      </c>
      <c r="E14" s="13" t="s">
        <v>6</v>
      </c>
    </row>
    <row r="15" spans="1:5" x14ac:dyDescent="0.25">
      <c r="C15" s="11" t="s">
        <v>782</v>
      </c>
      <c r="D15" s="12">
        <f>SUM(D12:D14)</f>
        <v>801.69999999999993</v>
      </c>
    </row>
    <row r="16" spans="1:5" x14ac:dyDescent="0.25">
      <c r="A16" s="13">
        <v>20171219</v>
      </c>
      <c r="B16" s="13" t="str">
        <f>"023266"</f>
        <v>023266</v>
      </c>
      <c r="C16" s="13" t="s">
        <v>0</v>
      </c>
      <c r="D16" s="14">
        <v>356.34</v>
      </c>
      <c r="E16" s="13" t="s">
        <v>1</v>
      </c>
    </row>
    <row r="17" spans="1:5" x14ac:dyDescent="0.25">
      <c r="C17" s="11" t="s">
        <v>783</v>
      </c>
      <c r="D17" s="12">
        <f>SUM(D16)</f>
        <v>356.34</v>
      </c>
    </row>
    <row r="18" spans="1:5" x14ac:dyDescent="0.25">
      <c r="A18" s="13">
        <v>20180109</v>
      </c>
      <c r="B18" s="13" t="str">
        <f>"023296"</f>
        <v>023296</v>
      </c>
      <c r="C18" s="13" t="s">
        <v>0</v>
      </c>
      <c r="D18" s="14">
        <v>419.89</v>
      </c>
      <c r="E18" s="13" t="s">
        <v>1</v>
      </c>
    </row>
    <row r="19" spans="1:5" x14ac:dyDescent="0.25">
      <c r="A19" s="13">
        <v>20180119</v>
      </c>
      <c r="B19" s="13" t="str">
        <f>"023319"</f>
        <v>023319</v>
      </c>
      <c r="C19" s="13" t="s">
        <v>2</v>
      </c>
      <c r="D19" s="14">
        <v>10</v>
      </c>
      <c r="E19" s="13" t="s">
        <v>7</v>
      </c>
    </row>
    <row r="20" spans="1:5" x14ac:dyDescent="0.25">
      <c r="A20" s="13">
        <v>20180124</v>
      </c>
      <c r="B20" s="13" t="str">
        <f>"023344"</f>
        <v>023344</v>
      </c>
      <c r="C20" s="13" t="s">
        <v>0</v>
      </c>
      <c r="D20" s="14">
        <v>362.16</v>
      </c>
      <c r="E20" s="13" t="s">
        <v>794</v>
      </c>
    </row>
    <row r="21" spans="1:5" x14ac:dyDescent="0.25">
      <c r="A21" s="13">
        <v>20180124</v>
      </c>
      <c r="B21" s="13" t="str">
        <f>"023344"</f>
        <v>023344</v>
      </c>
      <c r="C21" s="13" t="s">
        <v>0</v>
      </c>
      <c r="D21" s="14">
        <v>20.97</v>
      </c>
      <c r="E21" s="13" t="s">
        <v>795</v>
      </c>
    </row>
    <row r="22" spans="1:5" x14ac:dyDescent="0.25">
      <c r="C22" s="11" t="s">
        <v>784</v>
      </c>
      <c r="D22" s="12">
        <f>SUM(D18:D21)</f>
        <v>813.02</v>
      </c>
    </row>
    <row r="23" spans="1:5" x14ac:dyDescent="0.25">
      <c r="A23" s="13">
        <v>20180215</v>
      </c>
      <c r="B23" s="13" t="str">
        <f>"030016"</f>
        <v>030016</v>
      </c>
      <c r="C23" s="13" t="s">
        <v>0</v>
      </c>
      <c r="D23" s="14">
        <v>395.21</v>
      </c>
      <c r="E23" s="13" t="s">
        <v>794</v>
      </c>
    </row>
    <row r="24" spans="1:5" x14ac:dyDescent="0.25">
      <c r="A24" s="13">
        <v>20180228</v>
      </c>
      <c r="B24" s="13" t="str">
        <f>"030059"</f>
        <v>030059</v>
      </c>
      <c r="C24" s="13" t="s">
        <v>0</v>
      </c>
      <c r="D24" s="14">
        <v>422.44</v>
      </c>
      <c r="E24" s="13" t="s">
        <v>794</v>
      </c>
    </row>
    <row r="25" spans="1:5" x14ac:dyDescent="0.25">
      <c r="A25" s="13">
        <v>20180228</v>
      </c>
      <c r="B25" s="13" t="str">
        <f>"030059"</f>
        <v>030059</v>
      </c>
      <c r="C25" s="13" t="s">
        <v>0</v>
      </c>
      <c r="D25" s="14">
        <v>25.85</v>
      </c>
      <c r="E25" s="13" t="s">
        <v>795</v>
      </c>
    </row>
    <row r="26" spans="1:5" x14ac:dyDescent="0.25">
      <c r="C26" s="11" t="s">
        <v>785</v>
      </c>
      <c r="D26" s="12">
        <f>SUM(D23:D25)</f>
        <v>843.5</v>
      </c>
    </row>
    <row r="27" spans="1:5" x14ac:dyDescent="0.25">
      <c r="A27" s="13">
        <v>20180309</v>
      </c>
      <c r="B27" s="13" t="str">
        <f>"030084"</f>
        <v>030084</v>
      </c>
      <c r="C27" s="13" t="s">
        <v>0</v>
      </c>
      <c r="D27" s="14">
        <v>255.51</v>
      </c>
      <c r="E27" s="13" t="s">
        <v>794</v>
      </c>
    </row>
    <row r="28" spans="1:5" x14ac:dyDescent="0.25">
      <c r="A28" s="13">
        <v>20180309</v>
      </c>
      <c r="B28" s="13" t="str">
        <f>"030084"</f>
        <v>030084</v>
      </c>
      <c r="C28" s="13" t="s">
        <v>0</v>
      </c>
      <c r="D28" s="14">
        <v>106.79</v>
      </c>
      <c r="E28" s="13" t="s">
        <v>795</v>
      </c>
    </row>
    <row r="29" spans="1:5" x14ac:dyDescent="0.25">
      <c r="A29" s="13">
        <v>20180322</v>
      </c>
      <c r="B29" s="13" t="str">
        <f>"030110"</f>
        <v>030110</v>
      </c>
      <c r="C29" s="13" t="s">
        <v>0</v>
      </c>
      <c r="D29" s="14">
        <v>360.49</v>
      </c>
      <c r="E29" s="13" t="s">
        <v>794</v>
      </c>
    </row>
    <row r="30" spans="1:5" x14ac:dyDescent="0.25">
      <c r="A30" s="13">
        <v>20180322</v>
      </c>
      <c r="B30" s="13" t="str">
        <f>"030111"</f>
        <v>030111</v>
      </c>
      <c r="C30" s="13" t="s">
        <v>2</v>
      </c>
      <c r="D30" s="14">
        <v>12.97</v>
      </c>
      <c r="E30" s="13" t="s">
        <v>3</v>
      </c>
    </row>
    <row r="31" spans="1:5" x14ac:dyDescent="0.25">
      <c r="C31" s="11" t="s">
        <v>786</v>
      </c>
      <c r="D31" s="12">
        <f>SUM(D27:D30)</f>
        <v>735.76</v>
      </c>
    </row>
    <row r="32" spans="1:5" x14ac:dyDescent="0.25">
      <c r="A32" s="13">
        <v>20180403</v>
      </c>
      <c r="B32" s="13" t="str">
        <f>"030137"</f>
        <v>030137</v>
      </c>
      <c r="C32" s="13" t="s">
        <v>0</v>
      </c>
      <c r="D32" s="14">
        <v>359.64</v>
      </c>
      <c r="E32" s="13" t="s">
        <v>1</v>
      </c>
    </row>
    <row r="33" spans="1:5" x14ac:dyDescent="0.25">
      <c r="A33" s="13">
        <v>20180403</v>
      </c>
      <c r="B33" s="13" t="str">
        <f>"030137"</f>
        <v>030137</v>
      </c>
      <c r="C33" s="13" t="s">
        <v>0</v>
      </c>
      <c r="D33" s="14">
        <v>25.85</v>
      </c>
      <c r="E33" s="13" t="s">
        <v>6</v>
      </c>
    </row>
    <row r="34" spans="1:5" x14ac:dyDescent="0.25">
      <c r="A34" s="13">
        <v>20180425</v>
      </c>
      <c r="B34" s="13" t="str">
        <f>"030173"</f>
        <v>030173</v>
      </c>
      <c r="C34" s="13" t="s">
        <v>0</v>
      </c>
      <c r="D34" s="14">
        <v>354.24</v>
      </c>
      <c r="E34" s="13" t="s">
        <v>1</v>
      </c>
    </row>
    <row r="35" spans="1:5" x14ac:dyDescent="0.25">
      <c r="A35" s="13">
        <v>20180425</v>
      </c>
      <c r="B35" s="13" t="str">
        <f>"030173"</f>
        <v>030173</v>
      </c>
      <c r="C35" s="13" t="s">
        <v>0</v>
      </c>
      <c r="D35" s="14">
        <v>25.88</v>
      </c>
      <c r="E35" s="13" t="s">
        <v>6</v>
      </c>
    </row>
    <row r="36" spans="1:5" x14ac:dyDescent="0.25">
      <c r="A36" s="13">
        <v>20180425</v>
      </c>
      <c r="B36" s="13" t="str">
        <f>"030174"</f>
        <v>030174</v>
      </c>
      <c r="C36" s="13" t="s">
        <v>2</v>
      </c>
      <c r="D36" s="14">
        <v>12.97</v>
      </c>
      <c r="E36" s="13" t="s">
        <v>7</v>
      </c>
    </row>
    <row r="37" spans="1:5" x14ac:dyDescent="0.25">
      <c r="C37" s="11" t="s">
        <v>787</v>
      </c>
      <c r="D37" s="12">
        <f>SUM(D32:D36)</f>
        <v>778.58</v>
      </c>
    </row>
    <row r="38" spans="1:5" x14ac:dyDescent="0.25">
      <c r="A38" s="13">
        <v>20180503</v>
      </c>
      <c r="B38" s="13" t="str">
        <f>"030183"</f>
        <v>030183</v>
      </c>
      <c r="C38" s="13" t="s">
        <v>0</v>
      </c>
      <c r="D38" s="14">
        <v>346.77</v>
      </c>
      <c r="E38" s="13" t="s">
        <v>1</v>
      </c>
    </row>
    <row r="39" spans="1:5" x14ac:dyDescent="0.25">
      <c r="A39" s="13">
        <v>20180503</v>
      </c>
      <c r="B39" s="13" t="str">
        <f>"030183"</f>
        <v>030183</v>
      </c>
      <c r="C39" s="13" t="s">
        <v>0</v>
      </c>
      <c r="D39" s="14">
        <v>14.53</v>
      </c>
      <c r="E39" s="13" t="s">
        <v>6</v>
      </c>
    </row>
    <row r="40" spans="1:5" x14ac:dyDescent="0.25">
      <c r="A40" s="13">
        <v>20180518</v>
      </c>
      <c r="B40" s="13" t="str">
        <f>"030211"</f>
        <v>030211</v>
      </c>
      <c r="C40" s="13" t="s">
        <v>0</v>
      </c>
      <c r="D40" s="14">
        <v>213.43</v>
      </c>
      <c r="E40" s="13" t="s">
        <v>1</v>
      </c>
    </row>
    <row r="41" spans="1:5" x14ac:dyDescent="0.25">
      <c r="A41" s="13">
        <v>20180518</v>
      </c>
      <c r="B41" s="13" t="str">
        <f>"030211"</f>
        <v>030211</v>
      </c>
      <c r="C41" s="13" t="s">
        <v>0</v>
      </c>
      <c r="D41" s="14">
        <v>186.3</v>
      </c>
      <c r="E41" s="13" t="s">
        <v>6</v>
      </c>
    </row>
    <row r="42" spans="1:5" x14ac:dyDescent="0.25">
      <c r="A42" s="13">
        <v>20180518</v>
      </c>
      <c r="B42" s="13" t="str">
        <f>"030212"</f>
        <v>030212</v>
      </c>
      <c r="C42" s="13" t="s">
        <v>2</v>
      </c>
      <c r="D42" s="14">
        <v>12.97</v>
      </c>
      <c r="E42" s="13" t="s">
        <v>7</v>
      </c>
    </row>
    <row r="43" spans="1:5" x14ac:dyDescent="0.25">
      <c r="C43" s="11" t="s">
        <v>788</v>
      </c>
      <c r="D43" s="12">
        <f>SUM(D38:D42)</f>
        <v>774</v>
      </c>
    </row>
    <row r="44" spans="1:5" x14ac:dyDescent="0.25">
      <c r="A44" s="13">
        <v>20180628</v>
      </c>
      <c r="B44" s="13" t="str">
        <f>"030269"</f>
        <v>030269</v>
      </c>
      <c r="C44" s="13" t="s">
        <v>8</v>
      </c>
      <c r="D44" s="14">
        <v>20</v>
      </c>
      <c r="E44" s="13" t="s">
        <v>9</v>
      </c>
    </row>
    <row r="45" spans="1:5" x14ac:dyDescent="0.25">
      <c r="C45" s="11" t="s">
        <v>789</v>
      </c>
      <c r="D45" s="12">
        <f>SUM(D44)</f>
        <v>20</v>
      </c>
    </row>
    <row r="46" spans="1:5" x14ac:dyDescent="0.25">
      <c r="A46" s="13">
        <v>20180712</v>
      </c>
      <c r="B46" s="13" t="str">
        <f>"030278"</f>
        <v>030278</v>
      </c>
      <c r="C46" s="13" t="s">
        <v>4</v>
      </c>
      <c r="D46" s="14">
        <v>66.75</v>
      </c>
      <c r="E46" s="13" t="s">
        <v>10</v>
      </c>
    </row>
    <row r="47" spans="1:5" x14ac:dyDescent="0.25">
      <c r="C47" s="11" t="s">
        <v>790</v>
      </c>
      <c r="D47" s="12">
        <f>SUM(D46)</f>
        <v>66.75</v>
      </c>
    </row>
    <row r="48" spans="1:5" x14ac:dyDescent="0.25">
      <c r="A48" s="13">
        <v>20180827</v>
      </c>
      <c r="B48" s="13" t="str">
        <f>"030346"</f>
        <v>030346</v>
      </c>
      <c r="C48" s="13" t="s">
        <v>0</v>
      </c>
      <c r="D48" s="14">
        <v>279.49</v>
      </c>
      <c r="E48" s="13" t="s">
        <v>1</v>
      </c>
    </row>
    <row r="49" spans="1:5" x14ac:dyDescent="0.25">
      <c r="A49" s="13">
        <v>20180827</v>
      </c>
      <c r="B49" s="13" t="str">
        <f>"030346"</f>
        <v>030346</v>
      </c>
      <c r="C49" s="13" t="s">
        <v>0</v>
      </c>
      <c r="D49" s="14">
        <v>103.09</v>
      </c>
      <c r="E49" s="13" t="s">
        <v>1</v>
      </c>
    </row>
    <row r="50" spans="1:5" x14ac:dyDescent="0.25">
      <c r="A50" s="13">
        <v>20180827</v>
      </c>
      <c r="B50" s="13" t="str">
        <f>"030359"</f>
        <v>030359</v>
      </c>
      <c r="C50" s="13" t="s">
        <v>11</v>
      </c>
      <c r="D50" s="14">
        <v>300</v>
      </c>
      <c r="E50" s="13" t="s">
        <v>12</v>
      </c>
    </row>
    <row r="51" spans="1:5" x14ac:dyDescent="0.25">
      <c r="A51" s="13">
        <v>20180830</v>
      </c>
      <c r="B51" s="13" t="str">
        <f>"030361"</f>
        <v>030361</v>
      </c>
      <c r="C51" s="13" t="s">
        <v>0</v>
      </c>
      <c r="D51" s="14">
        <v>211.36</v>
      </c>
      <c r="E51" s="13" t="s">
        <v>1</v>
      </c>
    </row>
    <row r="52" spans="1:5" x14ac:dyDescent="0.25">
      <c r="C52" s="9" t="s">
        <v>791</v>
      </c>
      <c r="D52" s="10">
        <f>SUM(D48:D51)</f>
        <v>893.94</v>
      </c>
    </row>
    <row r="53" spans="1:5" x14ac:dyDescent="0.25">
      <c r="D53" s="4"/>
    </row>
    <row r="54" spans="1:5" x14ac:dyDescent="0.25">
      <c r="A54" s="1"/>
      <c r="B54" s="1"/>
      <c r="C54" s="3" t="s">
        <v>792</v>
      </c>
      <c r="D54" s="8">
        <f>SUM(D52,D47,D45,D43,D37,D31,D26,D22,D17,D15,D11,D6)</f>
        <v>8068.66</v>
      </c>
      <c r="E54" s="1"/>
    </row>
    <row r="55" spans="1:5" x14ac:dyDescent="0.25">
      <c r="A55" s="1"/>
      <c r="B55" s="1"/>
      <c r="C55" s="1"/>
      <c r="D55" s="5"/>
      <c r="E55" s="1"/>
    </row>
    <row r="56" spans="1:5" x14ac:dyDescent="0.25">
      <c r="A56" s="2" t="s">
        <v>796</v>
      </c>
      <c r="B56" s="2"/>
      <c r="C56" s="2"/>
      <c r="D56" s="6"/>
      <c r="E56" s="2"/>
    </row>
    <row r="57" spans="1:5" x14ac:dyDescent="0.25">
      <c r="A57" s="15" t="s">
        <v>775</v>
      </c>
      <c r="B57" s="15" t="s">
        <v>776</v>
      </c>
      <c r="C57" s="15" t="s">
        <v>777</v>
      </c>
      <c r="D57" s="16" t="s">
        <v>778</v>
      </c>
      <c r="E57" s="15" t="s">
        <v>779</v>
      </c>
    </row>
    <row r="58" spans="1:5" x14ac:dyDescent="0.25">
      <c r="A58" s="13">
        <v>20170925</v>
      </c>
      <c r="B58" s="13" t="str">
        <f>"023082"</f>
        <v>023082</v>
      </c>
      <c r="C58" s="13" t="s">
        <v>13</v>
      </c>
      <c r="D58" s="14">
        <v>1552.16</v>
      </c>
      <c r="E58" s="13" t="s">
        <v>14</v>
      </c>
    </row>
    <row r="59" spans="1:5" x14ac:dyDescent="0.25">
      <c r="C59" s="17" t="s">
        <v>780</v>
      </c>
      <c r="D59" s="12">
        <f>SUM(D58)</f>
        <v>1552.16</v>
      </c>
    </row>
    <row r="60" spans="1:5" x14ac:dyDescent="0.25">
      <c r="A60" s="13">
        <v>20171011</v>
      </c>
      <c r="B60" s="13" t="str">
        <f>"023119"</f>
        <v>023119</v>
      </c>
      <c r="C60" s="13" t="s">
        <v>15</v>
      </c>
      <c r="D60" s="14">
        <v>11484</v>
      </c>
      <c r="E60" s="13" t="s">
        <v>16</v>
      </c>
    </row>
    <row r="61" spans="1:5" x14ac:dyDescent="0.25">
      <c r="A61" s="13">
        <v>20171016</v>
      </c>
      <c r="B61" s="13" t="str">
        <f>"023136"</f>
        <v>023136</v>
      </c>
      <c r="C61" s="13" t="s">
        <v>15</v>
      </c>
      <c r="D61" s="14">
        <v>11484</v>
      </c>
      <c r="E61" s="13" t="s">
        <v>16</v>
      </c>
    </row>
    <row r="62" spans="1:5" x14ac:dyDescent="0.25">
      <c r="A62" s="13">
        <v>20171019</v>
      </c>
      <c r="B62" s="13" t="str">
        <f>"023143"</f>
        <v>023143</v>
      </c>
      <c r="C62" s="13" t="s">
        <v>15</v>
      </c>
      <c r="D62" s="14">
        <v>8000</v>
      </c>
      <c r="E62" s="13" t="s">
        <v>16</v>
      </c>
    </row>
    <row r="63" spans="1:5" x14ac:dyDescent="0.25">
      <c r="A63" s="13">
        <v>20171025</v>
      </c>
      <c r="B63" s="13" t="str">
        <f>"023152"</f>
        <v>023152</v>
      </c>
      <c r="C63" s="13" t="s">
        <v>15</v>
      </c>
      <c r="D63" s="14">
        <v>3832</v>
      </c>
      <c r="E63" s="13" t="s">
        <v>16</v>
      </c>
    </row>
    <row r="64" spans="1:5" x14ac:dyDescent="0.25">
      <c r="A64" s="13">
        <v>20171031</v>
      </c>
      <c r="B64" s="13" t="str">
        <f>"023166"</f>
        <v>023166</v>
      </c>
      <c r="C64" s="13" t="s">
        <v>15</v>
      </c>
      <c r="D64" s="14">
        <v>1900</v>
      </c>
      <c r="E64" s="13" t="s">
        <v>17</v>
      </c>
    </row>
    <row r="65" spans="1:5" x14ac:dyDescent="0.25">
      <c r="A65" s="13">
        <v>20171031</v>
      </c>
      <c r="B65" s="13" t="str">
        <f>"023178"</f>
        <v>023178</v>
      </c>
      <c r="C65" s="13" t="s">
        <v>18</v>
      </c>
      <c r="D65" s="14">
        <v>92.99</v>
      </c>
      <c r="E65" s="13" t="s">
        <v>19</v>
      </c>
    </row>
    <row r="66" spans="1:5" x14ac:dyDescent="0.25">
      <c r="A66" s="13">
        <v>20171031</v>
      </c>
      <c r="B66" s="13" t="str">
        <f>"023180"</f>
        <v>023180</v>
      </c>
      <c r="C66" s="13" t="s">
        <v>20</v>
      </c>
      <c r="D66" s="14">
        <v>1072.8</v>
      </c>
      <c r="E66" s="13" t="s">
        <v>21</v>
      </c>
    </row>
    <row r="67" spans="1:5" x14ac:dyDescent="0.25">
      <c r="C67" s="11" t="s">
        <v>781</v>
      </c>
      <c r="D67" s="12">
        <f>SUM(D60:D66)</f>
        <v>37865.79</v>
      </c>
    </row>
    <row r="68" spans="1:5" x14ac:dyDescent="0.25">
      <c r="A68" s="13">
        <v>20171113</v>
      </c>
      <c r="B68" s="13" t="str">
        <f>"023185"</f>
        <v>023185</v>
      </c>
      <c r="C68" s="13" t="s">
        <v>15</v>
      </c>
      <c r="D68" s="14">
        <v>3900</v>
      </c>
      <c r="E68" s="13" t="s">
        <v>22</v>
      </c>
    </row>
    <row r="69" spans="1:5" x14ac:dyDescent="0.25">
      <c r="C69" s="11" t="s">
        <v>782</v>
      </c>
      <c r="D69" s="12">
        <f>SUM(D68)</f>
        <v>3900</v>
      </c>
    </row>
    <row r="70" spans="1:5" x14ac:dyDescent="0.25">
      <c r="A70" s="13">
        <v>20171206</v>
      </c>
      <c r="B70" s="13" t="str">
        <f>"023237"</f>
        <v>023237</v>
      </c>
      <c r="C70" s="13" t="s">
        <v>23</v>
      </c>
      <c r="D70" s="14">
        <v>20367.13</v>
      </c>
      <c r="E70" s="13" t="s">
        <v>24</v>
      </c>
    </row>
    <row r="71" spans="1:5" x14ac:dyDescent="0.25">
      <c r="C71" s="11" t="s">
        <v>783</v>
      </c>
      <c r="D71" s="12">
        <f>SUM(D70)</f>
        <v>20367.13</v>
      </c>
    </row>
    <row r="72" spans="1:5" x14ac:dyDescent="0.25">
      <c r="A72" s="13">
        <v>20180109</v>
      </c>
      <c r="B72" s="13" t="str">
        <f>"023291"</f>
        <v>023291</v>
      </c>
      <c r="C72" s="13" t="s">
        <v>13</v>
      </c>
      <c r="D72" s="14">
        <v>2354.08</v>
      </c>
      <c r="E72" s="13" t="s">
        <v>25</v>
      </c>
    </row>
    <row r="73" spans="1:5" x14ac:dyDescent="0.25">
      <c r="A73" s="13">
        <v>20180110</v>
      </c>
      <c r="B73" s="13" t="str">
        <f>"023305"</f>
        <v>023305</v>
      </c>
      <c r="C73" s="13" t="s">
        <v>13</v>
      </c>
      <c r="D73" s="14">
        <v>1265</v>
      </c>
      <c r="E73" s="13" t="s">
        <v>26</v>
      </c>
    </row>
    <row r="74" spans="1:5" x14ac:dyDescent="0.25">
      <c r="C74" s="11" t="s">
        <v>784</v>
      </c>
      <c r="D74" s="12">
        <f>SUM(D72:D73)</f>
        <v>3619.08</v>
      </c>
    </row>
    <row r="75" spans="1:5" x14ac:dyDescent="0.25">
      <c r="A75" s="13">
        <v>20180215</v>
      </c>
      <c r="B75" s="13" t="str">
        <f>"030001"</f>
        <v>030001</v>
      </c>
      <c r="C75" s="13" t="s">
        <v>27</v>
      </c>
      <c r="D75" s="14">
        <v>1057.8800000000001</v>
      </c>
      <c r="E75" s="13" t="s">
        <v>28</v>
      </c>
    </row>
    <row r="76" spans="1:5" x14ac:dyDescent="0.25">
      <c r="A76" s="13">
        <v>20180215</v>
      </c>
      <c r="B76" s="13" t="str">
        <f>"030025"</f>
        <v>030025</v>
      </c>
      <c r="C76" s="13" t="s">
        <v>23</v>
      </c>
      <c r="D76" s="14">
        <v>108.75</v>
      </c>
      <c r="E76" s="13" t="s">
        <v>29</v>
      </c>
    </row>
    <row r="77" spans="1:5" x14ac:dyDescent="0.25">
      <c r="C77" s="11" t="s">
        <v>785</v>
      </c>
      <c r="D77" s="12">
        <f>SUM(D75:D76)</f>
        <v>1166.6300000000001</v>
      </c>
    </row>
    <row r="78" spans="1:5" x14ac:dyDescent="0.25">
      <c r="A78" s="13">
        <v>20180309</v>
      </c>
      <c r="B78" s="13" t="str">
        <f>"030090"</f>
        <v>030090</v>
      </c>
      <c r="C78" s="13" t="s">
        <v>30</v>
      </c>
      <c r="D78" s="14">
        <v>60</v>
      </c>
      <c r="E78" s="13" t="s">
        <v>31</v>
      </c>
    </row>
    <row r="79" spans="1:5" x14ac:dyDescent="0.25">
      <c r="A79" s="13">
        <v>20180328</v>
      </c>
      <c r="B79" s="13" t="str">
        <f>"030130"</f>
        <v>030130</v>
      </c>
      <c r="C79" s="13" t="s">
        <v>32</v>
      </c>
      <c r="D79" s="14">
        <v>529.98</v>
      </c>
      <c r="E79" s="13" t="s">
        <v>33</v>
      </c>
    </row>
    <row r="80" spans="1:5" x14ac:dyDescent="0.25">
      <c r="C80" s="11" t="s">
        <v>786</v>
      </c>
      <c r="D80" s="12">
        <f>SUM(D78:D79)</f>
        <v>589.98</v>
      </c>
    </row>
    <row r="81" spans="1:5" x14ac:dyDescent="0.25">
      <c r="A81" s="13">
        <v>20180416</v>
      </c>
      <c r="B81" s="13" t="str">
        <f>"030146"</f>
        <v>030146</v>
      </c>
      <c r="C81" s="13" t="s">
        <v>34</v>
      </c>
      <c r="D81" s="14">
        <v>17920.939999999999</v>
      </c>
      <c r="E81" s="13" t="s">
        <v>35</v>
      </c>
    </row>
    <row r="82" spans="1:5" x14ac:dyDescent="0.25">
      <c r="C82" s="1" t="s">
        <v>787</v>
      </c>
      <c r="D82" s="4">
        <f>SUM(D81)</f>
        <v>17920.939999999999</v>
      </c>
    </row>
    <row r="83" spans="1:5" x14ac:dyDescent="0.25">
      <c r="A83" s="13">
        <v>20180509</v>
      </c>
      <c r="B83" s="13" t="str">
        <f>"030195"</f>
        <v>030195</v>
      </c>
      <c r="C83" s="13" t="s">
        <v>36</v>
      </c>
      <c r="D83" s="14">
        <v>2420</v>
      </c>
      <c r="E83" s="13" t="s">
        <v>37</v>
      </c>
    </row>
    <row r="84" spans="1:5" x14ac:dyDescent="0.25">
      <c r="C84" s="11" t="s">
        <v>788</v>
      </c>
      <c r="D84" s="12">
        <f>SUM(D83)</f>
        <v>2420</v>
      </c>
    </row>
    <row r="85" spans="1:5" x14ac:dyDescent="0.25">
      <c r="A85" s="13">
        <v>20180712</v>
      </c>
      <c r="B85" s="13" t="str">
        <f>"030280"</f>
        <v>030280</v>
      </c>
      <c r="C85" s="13" t="s">
        <v>36</v>
      </c>
      <c r="D85" s="14">
        <v>5700</v>
      </c>
      <c r="E85" s="13" t="s">
        <v>38</v>
      </c>
    </row>
    <row r="86" spans="1:5" x14ac:dyDescent="0.25">
      <c r="A86" s="13">
        <v>20180712</v>
      </c>
      <c r="B86" s="13" t="str">
        <f>"030280"</f>
        <v>030280</v>
      </c>
      <c r="C86" s="13" t="s">
        <v>36</v>
      </c>
      <c r="D86" s="14">
        <v>3574.52</v>
      </c>
      <c r="E86" s="13" t="s">
        <v>38</v>
      </c>
    </row>
    <row r="87" spans="1:5" x14ac:dyDescent="0.25">
      <c r="C87" s="11" t="s">
        <v>790</v>
      </c>
      <c r="D87" s="12">
        <f>SUM(D85:D86)</f>
        <v>9274.52</v>
      </c>
    </row>
    <row r="88" spans="1:5" x14ac:dyDescent="0.25">
      <c r="A88" s="13">
        <v>20180801</v>
      </c>
      <c r="B88" s="13" t="str">
        <f>"030303"</f>
        <v>030303</v>
      </c>
      <c r="C88" s="13" t="s">
        <v>23</v>
      </c>
      <c r="D88" s="14">
        <v>8122.8</v>
      </c>
      <c r="E88" s="13" t="s">
        <v>39</v>
      </c>
    </row>
    <row r="89" spans="1:5" x14ac:dyDescent="0.25">
      <c r="A89" s="13">
        <v>20180807</v>
      </c>
      <c r="B89" s="13" t="str">
        <f>"030326"</f>
        <v>030326</v>
      </c>
      <c r="C89" s="13" t="s">
        <v>40</v>
      </c>
      <c r="D89" s="14">
        <v>2500</v>
      </c>
      <c r="E89" s="13" t="s">
        <v>41</v>
      </c>
    </row>
    <row r="90" spans="1:5" x14ac:dyDescent="0.25">
      <c r="A90" s="13">
        <v>20180813</v>
      </c>
      <c r="B90" s="13" t="str">
        <f>"030335"</f>
        <v>030335</v>
      </c>
      <c r="C90" s="13" t="s">
        <v>36</v>
      </c>
      <c r="D90" s="14">
        <v>1895.8</v>
      </c>
      <c r="E90" s="13" t="s">
        <v>38</v>
      </c>
    </row>
    <row r="91" spans="1:5" x14ac:dyDescent="0.25">
      <c r="A91" s="13">
        <v>20180827</v>
      </c>
      <c r="B91" s="13" t="str">
        <f>"030348"</f>
        <v>030348</v>
      </c>
      <c r="C91" s="13" t="s">
        <v>42</v>
      </c>
      <c r="D91" s="14">
        <v>369.54</v>
      </c>
      <c r="E91" s="13" t="s">
        <v>43</v>
      </c>
    </row>
    <row r="92" spans="1:5" x14ac:dyDescent="0.25">
      <c r="A92" s="13">
        <v>20180827</v>
      </c>
      <c r="B92" s="13" t="str">
        <f>"030349"</f>
        <v>030349</v>
      </c>
      <c r="C92" s="13" t="s">
        <v>40</v>
      </c>
      <c r="D92" s="14">
        <v>2168.7199999999998</v>
      </c>
      <c r="E92" s="13" t="s">
        <v>41</v>
      </c>
    </row>
    <row r="93" spans="1:5" x14ac:dyDescent="0.25">
      <c r="C93" s="9" t="s">
        <v>791</v>
      </c>
      <c r="D93" s="10">
        <f>SUM(D88:D92)</f>
        <v>15056.859999999999</v>
      </c>
    </row>
    <row r="94" spans="1:5" x14ac:dyDescent="0.25">
      <c r="D94" s="4"/>
    </row>
    <row r="95" spans="1:5" x14ac:dyDescent="0.25">
      <c r="A95" s="1"/>
      <c r="B95" s="1"/>
      <c r="C95" s="3" t="s">
        <v>792</v>
      </c>
      <c r="D95" s="8">
        <f>SUM(D93,D87,D84,D82,D80,D77,D74,D71,D69,D67,D59)</f>
        <v>113733.09</v>
      </c>
      <c r="E95" s="1"/>
    </row>
    <row r="96" spans="1:5" x14ac:dyDescent="0.25">
      <c r="A96" s="1"/>
      <c r="B96" s="1"/>
      <c r="C96" s="1"/>
      <c r="D96" s="5"/>
      <c r="E96" s="1"/>
    </row>
    <row r="97" spans="1:5" x14ac:dyDescent="0.25">
      <c r="A97" s="2" t="s">
        <v>793</v>
      </c>
      <c r="B97" s="2"/>
      <c r="C97" s="2"/>
      <c r="D97" s="6"/>
      <c r="E97" s="2"/>
    </row>
    <row r="98" spans="1:5" x14ac:dyDescent="0.25">
      <c r="A98" s="15" t="s">
        <v>775</v>
      </c>
      <c r="B98" s="15" t="s">
        <v>776</v>
      </c>
      <c r="C98" s="15" t="s">
        <v>777</v>
      </c>
      <c r="D98" s="16" t="s">
        <v>778</v>
      </c>
      <c r="E98" s="15" t="s">
        <v>779</v>
      </c>
    </row>
    <row r="99" spans="1:5" x14ac:dyDescent="0.25">
      <c r="A99" s="13">
        <v>20170914</v>
      </c>
      <c r="B99" s="13" t="str">
        <f>"023063"</f>
        <v>023063</v>
      </c>
      <c r="C99" s="13" t="s">
        <v>46</v>
      </c>
      <c r="D99" s="14">
        <v>12.5</v>
      </c>
      <c r="E99" s="13" t="s">
        <v>47</v>
      </c>
    </row>
    <row r="100" spans="1:5" x14ac:dyDescent="0.25">
      <c r="A100" s="13">
        <v>20170914</v>
      </c>
      <c r="B100" s="13" t="str">
        <f>"023064"</f>
        <v>023064</v>
      </c>
      <c r="C100" s="13" t="s">
        <v>48</v>
      </c>
      <c r="D100" s="14">
        <v>425</v>
      </c>
      <c r="E100" s="13" t="s">
        <v>49</v>
      </c>
    </row>
    <row r="101" spans="1:5" x14ac:dyDescent="0.25">
      <c r="A101" s="13">
        <v>20170914</v>
      </c>
      <c r="B101" s="13" t="str">
        <f>"023065"</f>
        <v>023065</v>
      </c>
      <c r="C101" s="13" t="s">
        <v>50</v>
      </c>
      <c r="D101" s="14">
        <v>7.5</v>
      </c>
      <c r="E101" s="13" t="s">
        <v>51</v>
      </c>
    </row>
    <row r="102" spans="1:5" x14ac:dyDescent="0.25">
      <c r="A102" s="13">
        <v>20170914</v>
      </c>
      <c r="B102" s="13" t="str">
        <f>"023066"</f>
        <v>023066</v>
      </c>
      <c r="C102" s="13" t="s">
        <v>52</v>
      </c>
      <c r="D102" s="14">
        <v>5000</v>
      </c>
      <c r="E102" s="13" t="s">
        <v>53</v>
      </c>
    </row>
    <row r="103" spans="1:5" x14ac:dyDescent="0.25">
      <c r="A103" s="13">
        <v>20170914</v>
      </c>
      <c r="B103" s="13" t="str">
        <f>"023067"</f>
        <v>023067</v>
      </c>
      <c r="C103" s="13" t="s">
        <v>54</v>
      </c>
      <c r="D103" s="14">
        <v>828.75</v>
      </c>
      <c r="E103" s="13" t="s">
        <v>55</v>
      </c>
    </row>
    <row r="104" spans="1:5" x14ac:dyDescent="0.25">
      <c r="A104" s="13">
        <v>20170914</v>
      </c>
      <c r="B104" s="13" t="str">
        <f>"023068"</f>
        <v>023068</v>
      </c>
      <c r="C104" s="13" t="s">
        <v>56</v>
      </c>
      <c r="D104" s="14">
        <v>270.38</v>
      </c>
      <c r="E104" s="13" t="s">
        <v>57</v>
      </c>
    </row>
    <row r="105" spans="1:5" x14ac:dyDescent="0.25">
      <c r="A105" s="13">
        <v>20170914</v>
      </c>
      <c r="B105" s="13" t="str">
        <f>"023069"</f>
        <v>023069</v>
      </c>
      <c r="C105" s="13" t="s">
        <v>58</v>
      </c>
      <c r="D105" s="14">
        <v>7</v>
      </c>
      <c r="E105" s="13" t="s">
        <v>59</v>
      </c>
    </row>
    <row r="106" spans="1:5" x14ac:dyDescent="0.25">
      <c r="A106" s="13">
        <v>20170914</v>
      </c>
      <c r="B106" s="13" t="str">
        <f>"023070"</f>
        <v>023070</v>
      </c>
      <c r="C106" s="13" t="s">
        <v>60</v>
      </c>
      <c r="D106" s="14">
        <v>260</v>
      </c>
      <c r="E106" s="13" t="s">
        <v>61</v>
      </c>
    </row>
    <row r="107" spans="1:5" x14ac:dyDescent="0.25">
      <c r="A107" s="13">
        <v>20170914</v>
      </c>
      <c r="B107" s="13" t="str">
        <f>"023071"</f>
        <v>023071</v>
      </c>
      <c r="C107" s="13" t="s">
        <v>62</v>
      </c>
      <c r="D107" s="14">
        <v>450</v>
      </c>
      <c r="E107" s="13" t="s">
        <v>63</v>
      </c>
    </row>
    <row r="108" spans="1:5" x14ac:dyDescent="0.25">
      <c r="A108" s="13">
        <v>20170914</v>
      </c>
      <c r="B108" s="13" t="str">
        <f>"023072"</f>
        <v>023072</v>
      </c>
      <c r="C108" s="13" t="s">
        <v>64</v>
      </c>
      <c r="D108" s="14">
        <v>500</v>
      </c>
      <c r="E108" s="13" t="s">
        <v>65</v>
      </c>
    </row>
    <row r="109" spans="1:5" x14ac:dyDescent="0.25">
      <c r="A109" s="13">
        <v>20170914</v>
      </c>
      <c r="B109" s="13" t="str">
        <f>"023073"</f>
        <v>023073</v>
      </c>
      <c r="C109" s="13" t="s">
        <v>66</v>
      </c>
      <c r="D109" s="14">
        <v>1500</v>
      </c>
      <c r="E109" s="13" t="s">
        <v>67</v>
      </c>
    </row>
    <row r="110" spans="1:5" x14ac:dyDescent="0.25">
      <c r="A110" s="13">
        <v>20170914</v>
      </c>
      <c r="B110" s="13" t="str">
        <f>"023074"</f>
        <v>023074</v>
      </c>
      <c r="C110" s="13" t="s">
        <v>68</v>
      </c>
      <c r="D110" s="14">
        <v>1479.74</v>
      </c>
      <c r="E110" s="13" t="s">
        <v>69</v>
      </c>
    </row>
    <row r="111" spans="1:5" x14ac:dyDescent="0.25">
      <c r="A111" s="13">
        <v>20170914</v>
      </c>
      <c r="B111" s="13" t="str">
        <f>"023075"</f>
        <v>023075</v>
      </c>
      <c r="C111" s="13" t="s">
        <v>70</v>
      </c>
      <c r="D111" s="14">
        <v>1300</v>
      </c>
      <c r="E111" s="13" t="s">
        <v>71</v>
      </c>
    </row>
    <row r="112" spans="1:5" x14ac:dyDescent="0.25">
      <c r="A112" s="13">
        <v>20170925</v>
      </c>
      <c r="B112" s="13" t="str">
        <f>"023078"</f>
        <v>023078</v>
      </c>
      <c r="C112" s="13" t="s">
        <v>27</v>
      </c>
      <c r="D112" s="14">
        <v>1008</v>
      </c>
      <c r="E112" s="13" t="s">
        <v>72</v>
      </c>
    </row>
    <row r="113" spans="1:5" x14ac:dyDescent="0.25">
      <c r="A113" s="13">
        <v>20170925</v>
      </c>
      <c r="B113" s="13" t="str">
        <f>"023078"</f>
        <v>023078</v>
      </c>
      <c r="C113" s="13" t="s">
        <v>27</v>
      </c>
      <c r="D113" s="14">
        <v>1067.69</v>
      </c>
      <c r="E113" s="13" t="s">
        <v>73</v>
      </c>
    </row>
    <row r="114" spans="1:5" x14ac:dyDescent="0.25">
      <c r="A114" s="13">
        <v>20170925</v>
      </c>
      <c r="B114" s="13" t="str">
        <f>"023079"</f>
        <v>023079</v>
      </c>
      <c r="C114" s="13" t="s">
        <v>74</v>
      </c>
      <c r="D114" s="14">
        <v>11.69</v>
      </c>
      <c r="E114" s="13" t="s">
        <v>75</v>
      </c>
    </row>
    <row r="115" spans="1:5" x14ac:dyDescent="0.25">
      <c r="A115" s="13">
        <v>20170925</v>
      </c>
      <c r="B115" s="13" t="str">
        <f>"023080"</f>
        <v>023080</v>
      </c>
      <c r="C115" s="13" t="s">
        <v>76</v>
      </c>
      <c r="D115" s="14">
        <v>202.46</v>
      </c>
      <c r="E115" s="13" t="s">
        <v>77</v>
      </c>
    </row>
    <row r="116" spans="1:5" x14ac:dyDescent="0.25">
      <c r="A116" s="13">
        <v>20170925</v>
      </c>
      <c r="B116" s="13" t="str">
        <f>"023080"</f>
        <v>023080</v>
      </c>
      <c r="C116" s="13" t="s">
        <v>76</v>
      </c>
      <c r="D116" s="14">
        <v>213.94</v>
      </c>
      <c r="E116" s="13" t="s">
        <v>77</v>
      </c>
    </row>
    <row r="117" spans="1:5" x14ac:dyDescent="0.25">
      <c r="A117" s="13">
        <v>20170925</v>
      </c>
      <c r="B117" s="13" t="str">
        <f>"023080"</f>
        <v>023080</v>
      </c>
      <c r="C117" s="13" t="s">
        <v>76</v>
      </c>
      <c r="D117" s="14">
        <v>67.489999999999995</v>
      </c>
      <c r="E117" s="13" t="s">
        <v>77</v>
      </c>
    </row>
    <row r="118" spans="1:5" x14ac:dyDescent="0.25">
      <c r="A118" s="13">
        <v>20170925</v>
      </c>
      <c r="B118" s="13" t="str">
        <f>"023080"</f>
        <v>023080</v>
      </c>
      <c r="C118" s="13" t="s">
        <v>76</v>
      </c>
      <c r="D118" s="14">
        <v>67.489999999999995</v>
      </c>
      <c r="E118" s="13" t="s">
        <v>77</v>
      </c>
    </row>
    <row r="119" spans="1:5" x14ac:dyDescent="0.25">
      <c r="A119" s="13">
        <v>20170925</v>
      </c>
      <c r="B119" s="13" t="str">
        <f>"023081"</f>
        <v>023081</v>
      </c>
      <c r="C119" s="13" t="s">
        <v>78</v>
      </c>
      <c r="D119" s="14">
        <v>672</v>
      </c>
      <c r="E119" s="13" t="s">
        <v>79</v>
      </c>
    </row>
    <row r="120" spans="1:5" x14ac:dyDescent="0.25">
      <c r="A120" s="13">
        <v>20170925</v>
      </c>
      <c r="B120" s="13" t="str">
        <f>"023083"</f>
        <v>023083</v>
      </c>
      <c r="C120" s="13" t="s">
        <v>80</v>
      </c>
      <c r="D120" s="14">
        <v>121.78</v>
      </c>
      <c r="E120" s="13" t="s">
        <v>81</v>
      </c>
    </row>
    <row r="121" spans="1:5" x14ac:dyDescent="0.25">
      <c r="A121" s="13">
        <v>20170925</v>
      </c>
      <c r="B121" s="13" t="str">
        <f>"023084"</f>
        <v>023084</v>
      </c>
      <c r="C121" s="13" t="s">
        <v>82</v>
      </c>
      <c r="D121" s="14">
        <v>900</v>
      </c>
      <c r="E121" s="13" t="s">
        <v>83</v>
      </c>
    </row>
    <row r="122" spans="1:5" x14ac:dyDescent="0.25">
      <c r="A122" s="13">
        <v>20170925</v>
      </c>
      <c r="B122" s="13" t="str">
        <f>"023087"</f>
        <v>023087</v>
      </c>
      <c r="C122" s="13" t="s">
        <v>84</v>
      </c>
      <c r="D122" s="14">
        <v>378</v>
      </c>
      <c r="E122" s="13" t="s">
        <v>85</v>
      </c>
    </row>
    <row r="123" spans="1:5" x14ac:dyDescent="0.25">
      <c r="A123" s="13">
        <v>20170925</v>
      </c>
      <c r="B123" s="13" t="str">
        <f>"023087"</f>
        <v>023087</v>
      </c>
      <c r="C123" s="13" t="s">
        <v>84</v>
      </c>
      <c r="D123" s="14">
        <v>522</v>
      </c>
      <c r="E123" s="13" t="s">
        <v>85</v>
      </c>
    </row>
    <row r="124" spans="1:5" x14ac:dyDescent="0.25">
      <c r="A124" s="13">
        <v>20170925</v>
      </c>
      <c r="B124" s="13" t="str">
        <f>"023088"</f>
        <v>023088</v>
      </c>
      <c r="C124" s="13" t="s">
        <v>86</v>
      </c>
      <c r="D124" s="14">
        <v>1018.25</v>
      </c>
      <c r="E124" s="13" t="s">
        <v>87</v>
      </c>
    </row>
    <row r="125" spans="1:5" x14ac:dyDescent="0.25">
      <c r="A125" s="13">
        <v>20170925</v>
      </c>
      <c r="B125" s="13" t="str">
        <f t="shared" ref="B125:B134" si="0">"023089"</f>
        <v>023089</v>
      </c>
      <c r="C125" s="13" t="s">
        <v>2</v>
      </c>
      <c r="D125" s="14">
        <v>104.25</v>
      </c>
      <c r="E125" s="13" t="s">
        <v>88</v>
      </c>
    </row>
    <row r="126" spans="1:5" x14ac:dyDescent="0.25">
      <c r="A126" s="13">
        <v>20170925</v>
      </c>
      <c r="B126" s="13" t="str">
        <f t="shared" si="0"/>
        <v>023089</v>
      </c>
      <c r="C126" s="13" t="s">
        <v>2</v>
      </c>
      <c r="D126" s="14">
        <v>112.31</v>
      </c>
      <c r="E126" s="13" t="s">
        <v>89</v>
      </c>
    </row>
    <row r="127" spans="1:5" x14ac:dyDescent="0.25">
      <c r="A127" s="13">
        <v>20170925</v>
      </c>
      <c r="B127" s="13" t="str">
        <f t="shared" si="0"/>
        <v>023089</v>
      </c>
      <c r="C127" s="13" t="s">
        <v>2</v>
      </c>
      <c r="D127" s="14">
        <v>168.12</v>
      </c>
      <c r="E127" s="13" t="s">
        <v>90</v>
      </c>
    </row>
    <row r="128" spans="1:5" x14ac:dyDescent="0.25">
      <c r="A128" s="13">
        <v>20170925</v>
      </c>
      <c r="B128" s="13" t="str">
        <f t="shared" si="0"/>
        <v>023089</v>
      </c>
      <c r="C128" s="13" t="s">
        <v>2</v>
      </c>
      <c r="D128" s="14">
        <v>20.04</v>
      </c>
      <c r="E128" s="13" t="s">
        <v>91</v>
      </c>
    </row>
    <row r="129" spans="1:5" x14ac:dyDescent="0.25">
      <c r="A129" s="13">
        <v>20170925</v>
      </c>
      <c r="B129" s="13" t="str">
        <f t="shared" si="0"/>
        <v>023089</v>
      </c>
      <c r="C129" s="13" t="s">
        <v>2</v>
      </c>
      <c r="D129" s="14">
        <v>8.92</v>
      </c>
      <c r="E129" s="13" t="s">
        <v>92</v>
      </c>
    </row>
    <row r="130" spans="1:5" x14ac:dyDescent="0.25">
      <c r="A130" s="13">
        <v>20170925</v>
      </c>
      <c r="B130" s="13" t="str">
        <f t="shared" si="0"/>
        <v>023089</v>
      </c>
      <c r="C130" s="13" t="s">
        <v>2</v>
      </c>
      <c r="D130" s="14">
        <v>3.66</v>
      </c>
      <c r="E130" s="13" t="s">
        <v>93</v>
      </c>
    </row>
    <row r="131" spans="1:5" x14ac:dyDescent="0.25">
      <c r="A131" s="13">
        <v>20170925</v>
      </c>
      <c r="B131" s="13" t="str">
        <f t="shared" si="0"/>
        <v>023089</v>
      </c>
      <c r="C131" s="13" t="s">
        <v>2</v>
      </c>
      <c r="D131" s="14">
        <v>9.5500000000000007</v>
      </c>
      <c r="E131" s="13" t="s">
        <v>94</v>
      </c>
    </row>
    <row r="132" spans="1:5" x14ac:dyDescent="0.25">
      <c r="A132" s="13">
        <v>20170925</v>
      </c>
      <c r="B132" s="13" t="str">
        <f t="shared" si="0"/>
        <v>023089</v>
      </c>
      <c r="C132" s="13" t="s">
        <v>2</v>
      </c>
      <c r="D132" s="14">
        <v>62.03</v>
      </c>
      <c r="E132" s="13" t="s">
        <v>95</v>
      </c>
    </row>
    <row r="133" spans="1:5" x14ac:dyDescent="0.25">
      <c r="A133" s="13">
        <v>20170925</v>
      </c>
      <c r="B133" s="13" t="str">
        <f t="shared" si="0"/>
        <v>023089</v>
      </c>
      <c r="C133" s="13" t="s">
        <v>2</v>
      </c>
      <c r="D133" s="14">
        <v>344.47</v>
      </c>
      <c r="E133" s="13" t="s">
        <v>96</v>
      </c>
    </row>
    <row r="134" spans="1:5" x14ac:dyDescent="0.25">
      <c r="A134" s="13">
        <v>20170925</v>
      </c>
      <c r="B134" s="13" t="str">
        <f t="shared" si="0"/>
        <v>023089</v>
      </c>
      <c r="C134" s="13" t="s">
        <v>2</v>
      </c>
      <c r="D134" s="14">
        <v>55.55</v>
      </c>
      <c r="E134" s="13" t="s">
        <v>97</v>
      </c>
    </row>
    <row r="135" spans="1:5" x14ac:dyDescent="0.25">
      <c r="A135" s="13">
        <v>20170925</v>
      </c>
      <c r="B135" s="13" t="str">
        <f>"023090"</f>
        <v>023090</v>
      </c>
      <c r="C135" s="13" t="s">
        <v>42</v>
      </c>
      <c r="D135" s="14">
        <v>923.56</v>
      </c>
      <c r="E135" s="13" t="s">
        <v>98</v>
      </c>
    </row>
    <row r="136" spans="1:5" x14ac:dyDescent="0.25">
      <c r="A136" s="13">
        <v>20170925</v>
      </c>
      <c r="B136" s="13" t="str">
        <f>"023091"</f>
        <v>023091</v>
      </c>
      <c r="C136" s="13" t="s">
        <v>99</v>
      </c>
      <c r="D136" s="14">
        <v>25.99</v>
      </c>
      <c r="E136" s="13" t="s">
        <v>100</v>
      </c>
    </row>
    <row r="137" spans="1:5" x14ac:dyDescent="0.25">
      <c r="A137" s="13">
        <v>20170925</v>
      </c>
      <c r="B137" s="13" t="str">
        <f>"023091"</f>
        <v>023091</v>
      </c>
      <c r="C137" s="13" t="s">
        <v>99</v>
      </c>
      <c r="D137" s="14">
        <v>24.98</v>
      </c>
      <c r="E137" s="13" t="s">
        <v>101</v>
      </c>
    </row>
    <row r="138" spans="1:5" x14ac:dyDescent="0.25">
      <c r="A138" s="13">
        <v>20170925</v>
      </c>
      <c r="B138" s="13" t="str">
        <f>"023092"</f>
        <v>023092</v>
      </c>
      <c r="C138" s="13" t="s">
        <v>102</v>
      </c>
      <c r="D138" s="14">
        <v>212.2</v>
      </c>
      <c r="E138" s="13" t="s">
        <v>103</v>
      </c>
    </row>
    <row r="139" spans="1:5" x14ac:dyDescent="0.25">
      <c r="A139" s="13">
        <v>20170925</v>
      </c>
      <c r="B139" s="13" t="str">
        <f>"023093"</f>
        <v>023093</v>
      </c>
      <c r="C139" s="13" t="s">
        <v>58</v>
      </c>
      <c r="D139" s="14">
        <v>55.88</v>
      </c>
      <c r="E139" s="13" t="s">
        <v>104</v>
      </c>
    </row>
    <row r="140" spans="1:5" x14ac:dyDescent="0.25">
      <c r="A140" s="13">
        <v>20170925</v>
      </c>
      <c r="B140" s="13" t="str">
        <f t="shared" ref="B140:B148" si="1">"023094"</f>
        <v>023094</v>
      </c>
      <c r="C140" s="13" t="s">
        <v>18</v>
      </c>
      <c r="D140" s="14">
        <v>145.5</v>
      </c>
      <c r="E140" s="13" t="s">
        <v>19</v>
      </c>
    </row>
    <row r="141" spans="1:5" x14ac:dyDescent="0.25">
      <c r="A141" s="13">
        <v>20170925</v>
      </c>
      <c r="B141" s="13" t="str">
        <f t="shared" si="1"/>
        <v>023094</v>
      </c>
      <c r="C141" s="13" t="s">
        <v>18</v>
      </c>
      <c r="D141" s="14">
        <v>26.99</v>
      </c>
      <c r="E141" s="13" t="s">
        <v>19</v>
      </c>
    </row>
    <row r="142" spans="1:5" x14ac:dyDescent="0.25">
      <c r="A142" s="13">
        <v>20170925</v>
      </c>
      <c r="B142" s="13" t="str">
        <f t="shared" si="1"/>
        <v>023094</v>
      </c>
      <c r="C142" s="13" t="s">
        <v>18</v>
      </c>
      <c r="D142" s="14">
        <v>30.39</v>
      </c>
      <c r="E142" s="13" t="s">
        <v>19</v>
      </c>
    </row>
    <row r="143" spans="1:5" x14ac:dyDescent="0.25">
      <c r="A143" s="13">
        <v>20170925</v>
      </c>
      <c r="B143" s="13" t="str">
        <f t="shared" si="1"/>
        <v>023094</v>
      </c>
      <c r="C143" s="13" t="s">
        <v>18</v>
      </c>
      <c r="D143" s="14">
        <v>30.21</v>
      </c>
      <c r="E143" s="13" t="s">
        <v>19</v>
      </c>
    </row>
    <row r="144" spans="1:5" x14ac:dyDescent="0.25">
      <c r="A144" s="13">
        <v>20170925</v>
      </c>
      <c r="B144" s="13" t="str">
        <f t="shared" si="1"/>
        <v>023094</v>
      </c>
      <c r="C144" s="13" t="s">
        <v>18</v>
      </c>
      <c r="D144" s="14">
        <v>247.68</v>
      </c>
      <c r="E144" s="13" t="s">
        <v>19</v>
      </c>
    </row>
    <row r="145" spans="1:5" x14ac:dyDescent="0.25">
      <c r="A145" s="13">
        <v>20170925</v>
      </c>
      <c r="B145" s="13" t="str">
        <f t="shared" si="1"/>
        <v>023094</v>
      </c>
      <c r="C145" s="13" t="s">
        <v>18</v>
      </c>
      <c r="D145" s="14">
        <v>615.91999999999996</v>
      </c>
      <c r="E145" s="13" t="s">
        <v>19</v>
      </c>
    </row>
    <row r="146" spans="1:5" x14ac:dyDescent="0.25">
      <c r="A146" s="13">
        <v>20170925</v>
      </c>
      <c r="B146" s="13" t="str">
        <f t="shared" si="1"/>
        <v>023094</v>
      </c>
      <c r="C146" s="13" t="s">
        <v>18</v>
      </c>
      <c r="D146" s="14">
        <v>836.97</v>
      </c>
      <c r="E146" s="13" t="s">
        <v>19</v>
      </c>
    </row>
    <row r="147" spans="1:5" x14ac:dyDescent="0.25">
      <c r="A147" s="13">
        <v>20170925</v>
      </c>
      <c r="B147" s="13" t="str">
        <f t="shared" si="1"/>
        <v>023094</v>
      </c>
      <c r="C147" s="13" t="s">
        <v>18</v>
      </c>
      <c r="D147" s="14">
        <v>30.38</v>
      </c>
      <c r="E147" s="13" t="s">
        <v>19</v>
      </c>
    </row>
    <row r="148" spans="1:5" x14ac:dyDescent="0.25">
      <c r="A148" s="13">
        <v>20170925</v>
      </c>
      <c r="B148" s="13" t="str">
        <f t="shared" si="1"/>
        <v>023094</v>
      </c>
      <c r="C148" s="13" t="s">
        <v>18</v>
      </c>
      <c r="D148" s="14">
        <v>54.78</v>
      </c>
      <c r="E148" s="13" t="s">
        <v>19</v>
      </c>
    </row>
    <row r="149" spans="1:5" x14ac:dyDescent="0.25">
      <c r="A149" s="13">
        <v>20170925</v>
      </c>
      <c r="B149" s="13" t="str">
        <f>"023095"</f>
        <v>023095</v>
      </c>
      <c r="C149" s="13" t="s">
        <v>105</v>
      </c>
      <c r="D149" s="14">
        <v>50</v>
      </c>
      <c r="E149" s="13" t="s">
        <v>106</v>
      </c>
    </row>
    <row r="150" spans="1:5" x14ac:dyDescent="0.25">
      <c r="A150" s="13">
        <v>20170925</v>
      </c>
      <c r="B150" s="13" t="str">
        <f>"023095"</f>
        <v>023095</v>
      </c>
      <c r="C150" s="13" t="s">
        <v>105</v>
      </c>
      <c r="D150" s="14">
        <v>32</v>
      </c>
      <c r="E150" s="13" t="s">
        <v>106</v>
      </c>
    </row>
    <row r="151" spans="1:5" x14ac:dyDescent="0.25">
      <c r="A151" s="13">
        <v>20170925</v>
      </c>
      <c r="B151" s="13" t="str">
        <f>"023096"</f>
        <v>023096</v>
      </c>
      <c r="C151" s="13" t="s">
        <v>107</v>
      </c>
      <c r="D151" s="14">
        <v>2894</v>
      </c>
      <c r="E151" s="13" t="s">
        <v>108</v>
      </c>
    </row>
    <row r="152" spans="1:5" x14ac:dyDescent="0.25">
      <c r="A152" s="13">
        <v>20170925</v>
      </c>
      <c r="B152" s="13" t="str">
        <f>"023097"</f>
        <v>023097</v>
      </c>
      <c r="C152" s="13" t="s">
        <v>30</v>
      </c>
      <c r="D152" s="14">
        <v>320</v>
      </c>
      <c r="E152" s="13" t="s">
        <v>109</v>
      </c>
    </row>
    <row r="153" spans="1:5" x14ac:dyDescent="0.25">
      <c r="A153" s="13">
        <v>20170925</v>
      </c>
      <c r="B153" s="13" t="str">
        <f>"023098"</f>
        <v>023098</v>
      </c>
      <c r="C153" s="13" t="s">
        <v>110</v>
      </c>
      <c r="D153" s="14">
        <v>925</v>
      </c>
      <c r="E153" s="13" t="s">
        <v>111</v>
      </c>
    </row>
    <row r="154" spans="1:5" x14ac:dyDescent="0.25">
      <c r="A154" s="13">
        <v>20170925</v>
      </c>
      <c r="B154" s="13" t="str">
        <f>"023099"</f>
        <v>023099</v>
      </c>
      <c r="C154" s="13" t="s">
        <v>68</v>
      </c>
      <c r="D154" s="14">
        <v>258.24</v>
      </c>
      <c r="E154" s="13" t="s">
        <v>112</v>
      </c>
    </row>
    <row r="155" spans="1:5" x14ac:dyDescent="0.25">
      <c r="A155" s="13">
        <v>20170925</v>
      </c>
      <c r="B155" s="13" t="str">
        <f>"023099"</f>
        <v>023099</v>
      </c>
      <c r="C155" s="13" t="s">
        <v>68</v>
      </c>
      <c r="D155" s="14">
        <v>579.29</v>
      </c>
      <c r="E155" s="13" t="s">
        <v>113</v>
      </c>
    </row>
    <row r="156" spans="1:5" x14ac:dyDescent="0.25">
      <c r="A156" s="13">
        <v>20170925</v>
      </c>
      <c r="B156" s="13" t="str">
        <f>"023100"</f>
        <v>023100</v>
      </c>
      <c r="C156" s="13" t="s">
        <v>114</v>
      </c>
      <c r="D156" s="14">
        <v>5150</v>
      </c>
      <c r="E156" s="13" t="s">
        <v>115</v>
      </c>
    </row>
    <row r="157" spans="1:5" x14ac:dyDescent="0.25">
      <c r="A157" s="13">
        <v>20170925</v>
      </c>
      <c r="B157" s="13" t="str">
        <f>"023101"</f>
        <v>023101</v>
      </c>
      <c r="C157" s="13" t="s">
        <v>116</v>
      </c>
      <c r="D157" s="14">
        <v>668.91</v>
      </c>
      <c r="E157" s="13" t="s">
        <v>117</v>
      </c>
    </row>
    <row r="158" spans="1:5" x14ac:dyDescent="0.25">
      <c r="C158" s="11" t="s">
        <v>780</v>
      </c>
      <c r="D158" s="12">
        <f>SUM(D99:D157)</f>
        <v>33319.430000000008</v>
      </c>
    </row>
    <row r="159" spans="1:5" x14ac:dyDescent="0.25">
      <c r="A159" s="13">
        <v>20171002</v>
      </c>
      <c r="B159" s="13" t="str">
        <f>"023103"</f>
        <v>023103</v>
      </c>
      <c r="C159" s="13" t="s">
        <v>27</v>
      </c>
      <c r="D159" s="14">
        <v>5835</v>
      </c>
      <c r="E159" s="13" t="s">
        <v>118</v>
      </c>
    </row>
    <row r="160" spans="1:5" x14ac:dyDescent="0.25">
      <c r="A160" s="13">
        <v>20171002</v>
      </c>
      <c r="B160" s="13" t="str">
        <f>"023103"</f>
        <v>023103</v>
      </c>
      <c r="C160" s="13" t="s">
        <v>27</v>
      </c>
      <c r="D160" s="14">
        <v>4543</v>
      </c>
      <c r="E160" s="13" t="s">
        <v>118</v>
      </c>
    </row>
    <row r="161" spans="1:5" x14ac:dyDescent="0.25">
      <c r="A161" s="13">
        <v>20171002</v>
      </c>
      <c r="B161" s="13" t="str">
        <f>"023104"</f>
        <v>023104</v>
      </c>
      <c r="C161" s="13" t="s">
        <v>119</v>
      </c>
      <c r="D161" s="14">
        <v>1303.68</v>
      </c>
      <c r="E161" s="13" t="s">
        <v>120</v>
      </c>
    </row>
    <row r="162" spans="1:5" x14ac:dyDescent="0.25">
      <c r="A162" s="13">
        <v>20171002</v>
      </c>
      <c r="B162" s="13" t="str">
        <f>"023104"</f>
        <v>023104</v>
      </c>
      <c r="C162" s="13" t="s">
        <v>119</v>
      </c>
      <c r="D162" s="14">
        <v>498.66</v>
      </c>
      <c r="E162" s="13" t="s">
        <v>120</v>
      </c>
    </row>
    <row r="163" spans="1:5" x14ac:dyDescent="0.25">
      <c r="A163" s="13">
        <v>20171002</v>
      </c>
      <c r="B163" s="13" t="str">
        <f>"023105"</f>
        <v>023105</v>
      </c>
      <c r="C163" s="13" t="s">
        <v>46</v>
      </c>
      <c r="D163" s="14">
        <v>12.5</v>
      </c>
      <c r="E163" s="13" t="s">
        <v>47</v>
      </c>
    </row>
    <row r="164" spans="1:5" x14ac:dyDescent="0.25">
      <c r="A164" s="13">
        <v>20171002</v>
      </c>
      <c r="B164" s="13" t="str">
        <f>"023106"</f>
        <v>023106</v>
      </c>
      <c r="C164" s="13" t="s">
        <v>121</v>
      </c>
      <c r="D164" s="14">
        <v>1374</v>
      </c>
      <c r="E164" s="13" t="s">
        <v>122</v>
      </c>
    </row>
    <row r="165" spans="1:5" x14ac:dyDescent="0.25">
      <c r="A165" s="13">
        <v>20171002</v>
      </c>
      <c r="B165" s="13" t="str">
        <f>"023107"</f>
        <v>023107</v>
      </c>
      <c r="C165" s="13" t="s">
        <v>123</v>
      </c>
      <c r="D165" s="14">
        <v>96.85</v>
      </c>
      <c r="E165" s="13" t="s">
        <v>124</v>
      </c>
    </row>
    <row r="166" spans="1:5" x14ac:dyDescent="0.25">
      <c r="A166" s="13">
        <v>20171002</v>
      </c>
      <c r="B166" s="13" t="str">
        <f>"023108"</f>
        <v>023108</v>
      </c>
      <c r="C166" s="13" t="s">
        <v>125</v>
      </c>
      <c r="D166" s="14">
        <v>30.48</v>
      </c>
      <c r="E166" s="13" t="s">
        <v>126</v>
      </c>
    </row>
    <row r="167" spans="1:5" x14ac:dyDescent="0.25">
      <c r="A167" s="13">
        <v>20171002</v>
      </c>
      <c r="B167" s="13" t="str">
        <f>"023109"</f>
        <v>023109</v>
      </c>
      <c r="C167" s="13" t="s">
        <v>127</v>
      </c>
      <c r="D167" s="14">
        <v>2700</v>
      </c>
      <c r="E167" s="13" t="s">
        <v>128</v>
      </c>
    </row>
    <row r="168" spans="1:5" x14ac:dyDescent="0.25">
      <c r="A168" s="13">
        <v>20171002</v>
      </c>
      <c r="B168" s="13" t="str">
        <f>"023110"</f>
        <v>023110</v>
      </c>
      <c r="C168" s="13" t="s">
        <v>129</v>
      </c>
      <c r="D168" s="14">
        <v>75</v>
      </c>
      <c r="E168" s="13" t="s">
        <v>130</v>
      </c>
    </row>
    <row r="169" spans="1:5" x14ac:dyDescent="0.25">
      <c r="A169" s="13">
        <v>20171002</v>
      </c>
      <c r="B169" s="13" t="str">
        <f>"023111"</f>
        <v>023111</v>
      </c>
      <c r="C169" s="13" t="s">
        <v>131</v>
      </c>
      <c r="D169" s="14">
        <v>600</v>
      </c>
      <c r="E169" s="13" t="s">
        <v>132</v>
      </c>
    </row>
    <row r="170" spans="1:5" x14ac:dyDescent="0.25">
      <c r="A170" s="13">
        <v>20171002</v>
      </c>
      <c r="B170" s="13" t="str">
        <f>"023112"</f>
        <v>023112</v>
      </c>
      <c r="C170" s="13" t="s">
        <v>133</v>
      </c>
      <c r="D170" s="14">
        <v>290.42</v>
      </c>
      <c r="E170" s="13" t="s">
        <v>134</v>
      </c>
    </row>
    <row r="171" spans="1:5" x14ac:dyDescent="0.25">
      <c r="A171" s="13">
        <v>20171002</v>
      </c>
      <c r="B171" s="13" t="str">
        <f>"023113"</f>
        <v>023113</v>
      </c>
      <c r="C171" s="13" t="s">
        <v>135</v>
      </c>
      <c r="D171" s="14">
        <v>59</v>
      </c>
      <c r="E171" s="13" t="s">
        <v>136</v>
      </c>
    </row>
    <row r="172" spans="1:5" x14ac:dyDescent="0.25">
      <c r="A172" s="13">
        <v>20171002</v>
      </c>
      <c r="B172" s="13" t="str">
        <f>"023114"</f>
        <v>023114</v>
      </c>
      <c r="C172" s="13" t="s">
        <v>18</v>
      </c>
      <c r="D172" s="14">
        <v>53.45</v>
      </c>
      <c r="E172" s="13" t="s">
        <v>137</v>
      </c>
    </row>
    <row r="173" spans="1:5" x14ac:dyDescent="0.25">
      <c r="A173" s="13">
        <v>20171002</v>
      </c>
      <c r="B173" s="13" t="str">
        <f>"023115"</f>
        <v>023115</v>
      </c>
      <c r="C173" s="13" t="s">
        <v>138</v>
      </c>
      <c r="D173" s="14">
        <v>59.95</v>
      </c>
      <c r="E173" s="13" t="s">
        <v>139</v>
      </c>
    </row>
    <row r="174" spans="1:5" x14ac:dyDescent="0.25">
      <c r="A174" s="13">
        <v>20171002</v>
      </c>
      <c r="B174" s="13" t="str">
        <f>"023116"</f>
        <v>023116</v>
      </c>
      <c r="C174" s="13" t="s">
        <v>140</v>
      </c>
      <c r="D174" s="14">
        <v>31.36</v>
      </c>
      <c r="E174" s="13" t="s">
        <v>141</v>
      </c>
    </row>
    <row r="175" spans="1:5" x14ac:dyDescent="0.25">
      <c r="A175" s="13">
        <v>20171002</v>
      </c>
      <c r="B175" s="13" t="str">
        <f>"023116"</f>
        <v>023116</v>
      </c>
      <c r="C175" s="13" t="s">
        <v>140</v>
      </c>
      <c r="D175" s="14">
        <v>18.62</v>
      </c>
      <c r="E175" s="13" t="s">
        <v>141</v>
      </c>
    </row>
    <row r="176" spans="1:5" x14ac:dyDescent="0.25">
      <c r="A176" s="13">
        <v>20171002</v>
      </c>
      <c r="B176" s="13" t="str">
        <f>"023116"</f>
        <v>023116</v>
      </c>
      <c r="C176" s="13" t="s">
        <v>140</v>
      </c>
      <c r="D176" s="14">
        <v>48.02</v>
      </c>
      <c r="E176" s="13" t="s">
        <v>141</v>
      </c>
    </row>
    <row r="177" spans="1:5" x14ac:dyDescent="0.25">
      <c r="A177" s="13">
        <v>20171011</v>
      </c>
      <c r="B177" s="13" t="str">
        <f>"023117"</f>
        <v>023117</v>
      </c>
      <c r="C177" s="13" t="s">
        <v>142</v>
      </c>
      <c r="D177" s="14">
        <v>7600</v>
      </c>
      <c r="E177" s="13" t="s">
        <v>143</v>
      </c>
    </row>
    <row r="178" spans="1:5" x14ac:dyDescent="0.25">
      <c r="A178" s="13">
        <v>20171011</v>
      </c>
      <c r="B178" s="13" t="str">
        <f>"023118"</f>
        <v>023118</v>
      </c>
      <c r="C178" s="13" t="s">
        <v>144</v>
      </c>
      <c r="D178" s="14">
        <v>80</v>
      </c>
      <c r="E178" s="13" t="s">
        <v>145</v>
      </c>
    </row>
    <row r="179" spans="1:5" x14ac:dyDescent="0.25">
      <c r="A179" s="13">
        <v>20171011</v>
      </c>
      <c r="B179" s="13" t="str">
        <f>"023121"</f>
        <v>023121</v>
      </c>
      <c r="C179" s="13" t="s">
        <v>121</v>
      </c>
      <c r="D179" s="14">
        <v>500</v>
      </c>
      <c r="E179" s="13" t="s">
        <v>146</v>
      </c>
    </row>
    <row r="180" spans="1:5" x14ac:dyDescent="0.25">
      <c r="A180" s="13">
        <v>20171011</v>
      </c>
      <c r="B180" s="13" t="str">
        <f>"023122"</f>
        <v>023122</v>
      </c>
      <c r="C180" s="13" t="s">
        <v>4</v>
      </c>
      <c r="D180" s="14">
        <v>18.100000000000001</v>
      </c>
      <c r="E180" s="13" t="s">
        <v>147</v>
      </c>
    </row>
    <row r="181" spans="1:5" x14ac:dyDescent="0.25">
      <c r="A181" s="13">
        <v>20171011</v>
      </c>
      <c r="B181" s="13" t="str">
        <f>"023123"</f>
        <v>023123</v>
      </c>
      <c r="C181" s="13" t="s">
        <v>56</v>
      </c>
      <c r="D181" s="14">
        <v>270.48</v>
      </c>
      <c r="E181" s="13" t="s">
        <v>148</v>
      </c>
    </row>
    <row r="182" spans="1:5" x14ac:dyDescent="0.25">
      <c r="A182" s="13">
        <v>20171011</v>
      </c>
      <c r="B182" s="13" t="str">
        <f>"023125"</f>
        <v>023125</v>
      </c>
      <c r="C182" s="13" t="s">
        <v>42</v>
      </c>
      <c r="D182" s="14">
        <v>171.91</v>
      </c>
      <c r="E182" s="13" t="s">
        <v>149</v>
      </c>
    </row>
    <row r="183" spans="1:5" x14ac:dyDescent="0.25">
      <c r="A183" s="13">
        <v>20171011</v>
      </c>
      <c r="B183" s="13" t="str">
        <f>"023126"</f>
        <v>023126</v>
      </c>
      <c r="C183" s="13" t="s">
        <v>99</v>
      </c>
      <c r="D183" s="14">
        <v>221.74</v>
      </c>
      <c r="E183" s="13" t="s">
        <v>150</v>
      </c>
    </row>
    <row r="184" spans="1:5" x14ac:dyDescent="0.25">
      <c r="A184" s="13">
        <v>20171011</v>
      </c>
      <c r="B184" s="13" t="str">
        <f>"023126"</f>
        <v>023126</v>
      </c>
      <c r="C184" s="13" t="s">
        <v>99</v>
      </c>
      <c r="D184" s="14">
        <v>73.400000000000006</v>
      </c>
      <c r="E184" s="13" t="s">
        <v>149</v>
      </c>
    </row>
    <row r="185" spans="1:5" x14ac:dyDescent="0.25">
      <c r="A185" s="13">
        <v>20171011</v>
      </c>
      <c r="B185" s="13" t="str">
        <f>"023128"</f>
        <v>023128</v>
      </c>
      <c r="C185" s="13" t="s">
        <v>30</v>
      </c>
      <c r="D185" s="14">
        <v>380</v>
      </c>
      <c r="E185" s="13" t="s">
        <v>109</v>
      </c>
    </row>
    <row r="186" spans="1:5" x14ac:dyDescent="0.25">
      <c r="A186" s="13">
        <v>20171011</v>
      </c>
      <c r="B186" s="13" t="str">
        <f>"023129"</f>
        <v>023129</v>
      </c>
      <c r="C186" s="13" t="s">
        <v>20</v>
      </c>
      <c r="D186" s="14">
        <v>2452</v>
      </c>
      <c r="E186" s="13" t="s">
        <v>151</v>
      </c>
    </row>
    <row r="187" spans="1:5" x14ac:dyDescent="0.25">
      <c r="A187" s="13">
        <v>20171011</v>
      </c>
      <c r="B187" s="13" t="str">
        <f>"023130"</f>
        <v>023130</v>
      </c>
      <c r="C187" s="13" t="s">
        <v>152</v>
      </c>
      <c r="D187" s="14">
        <v>140</v>
      </c>
      <c r="E187" s="13" t="s">
        <v>153</v>
      </c>
    </row>
    <row r="188" spans="1:5" x14ac:dyDescent="0.25">
      <c r="A188" s="13">
        <v>20171011</v>
      </c>
      <c r="B188" s="13" t="str">
        <f>"023130"</f>
        <v>023130</v>
      </c>
      <c r="C188" s="13" t="s">
        <v>152</v>
      </c>
      <c r="D188" s="14">
        <v>140</v>
      </c>
      <c r="E188" s="13" t="s">
        <v>153</v>
      </c>
    </row>
    <row r="189" spans="1:5" x14ac:dyDescent="0.25">
      <c r="A189" s="13">
        <v>20171011</v>
      </c>
      <c r="B189" s="13" t="str">
        <f>"023131"</f>
        <v>023131</v>
      </c>
      <c r="C189" s="13" t="s">
        <v>8</v>
      </c>
      <c r="D189" s="14">
        <v>7844</v>
      </c>
      <c r="E189" s="13" t="s">
        <v>154</v>
      </c>
    </row>
    <row r="190" spans="1:5" x14ac:dyDescent="0.25">
      <c r="A190" s="13">
        <v>20171011</v>
      </c>
      <c r="B190" s="13" t="str">
        <f>"023131"</f>
        <v>023131</v>
      </c>
      <c r="C190" s="13" t="s">
        <v>8</v>
      </c>
      <c r="D190" s="14">
        <v>5087</v>
      </c>
      <c r="E190" s="13" t="s">
        <v>154</v>
      </c>
    </row>
    <row r="191" spans="1:5" x14ac:dyDescent="0.25">
      <c r="A191" s="13">
        <v>20171011</v>
      </c>
      <c r="B191" s="13" t="str">
        <f>"023131"</f>
        <v>023131</v>
      </c>
      <c r="C191" s="13" t="s">
        <v>8</v>
      </c>
      <c r="D191" s="14">
        <v>5087</v>
      </c>
      <c r="E191" s="13" t="s">
        <v>154</v>
      </c>
    </row>
    <row r="192" spans="1:5" x14ac:dyDescent="0.25">
      <c r="A192" s="13">
        <v>20171011</v>
      </c>
      <c r="B192" s="13" t="str">
        <f>"023132"</f>
        <v>023132</v>
      </c>
      <c r="C192" s="13" t="s">
        <v>155</v>
      </c>
      <c r="D192" s="14">
        <v>196.46</v>
      </c>
      <c r="E192" s="13" t="s">
        <v>156</v>
      </c>
    </row>
    <row r="193" spans="1:5" x14ac:dyDescent="0.25">
      <c r="A193" s="13">
        <v>20171011</v>
      </c>
      <c r="B193" s="13" t="str">
        <f>"023133"</f>
        <v>023133</v>
      </c>
      <c r="C193" s="13" t="s">
        <v>157</v>
      </c>
      <c r="D193" s="14">
        <v>111.11</v>
      </c>
      <c r="E193" s="13" t="s">
        <v>158</v>
      </c>
    </row>
    <row r="194" spans="1:5" x14ac:dyDescent="0.25">
      <c r="A194" s="13">
        <v>20171011</v>
      </c>
      <c r="B194" s="13" t="str">
        <f>"023134"</f>
        <v>023134</v>
      </c>
      <c r="C194" s="13" t="s">
        <v>159</v>
      </c>
      <c r="D194" s="14">
        <v>201.3</v>
      </c>
      <c r="E194" s="13" t="s">
        <v>160</v>
      </c>
    </row>
    <row r="195" spans="1:5" x14ac:dyDescent="0.25">
      <c r="A195" s="13">
        <v>20171011</v>
      </c>
      <c r="B195" s="13" t="str">
        <f>"023135"</f>
        <v>023135</v>
      </c>
      <c r="C195" s="13" t="s">
        <v>27</v>
      </c>
      <c r="D195" s="14">
        <v>5906.4</v>
      </c>
      <c r="E195" s="13" t="s">
        <v>161</v>
      </c>
    </row>
    <row r="196" spans="1:5" x14ac:dyDescent="0.25">
      <c r="A196" s="13">
        <v>20171016</v>
      </c>
      <c r="B196" s="13" t="str">
        <f>"023137"</f>
        <v>023137</v>
      </c>
      <c r="C196" s="13" t="s">
        <v>162</v>
      </c>
      <c r="D196" s="14">
        <v>4000.5</v>
      </c>
      <c r="E196" s="13" t="s">
        <v>163</v>
      </c>
    </row>
    <row r="197" spans="1:5" x14ac:dyDescent="0.25">
      <c r="A197" s="13">
        <v>20171016</v>
      </c>
      <c r="B197" s="13" t="str">
        <f>"023138"</f>
        <v>023138</v>
      </c>
      <c r="C197" s="13" t="s">
        <v>164</v>
      </c>
      <c r="D197" s="14">
        <v>9066.59</v>
      </c>
      <c r="E197" s="13" t="s">
        <v>165</v>
      </c>
    </row>
    <row r="198" spans="1:5" x14ac:dyDescent="0.25">
      <c r="A198" s="13">
        <v>20171016</v>
      </c>
      <c r="B198" s="13" t="str">
        <f>"023139"</f>
        <v>023139</v>
      </c>
      <c r="C198" s="13" t="s">
        <v>166</v>
      </c>
      <c r="D198" s="14">
        <v>42</v>
      </c>
      <c r="E198" s="13" t="s">
        <v>167</v>
      </c>
    </row>
    <row r="199" spans="1:5" x14ac:dyDescent="0.25">
      <c r="A199" s="13">
        <v>20171016</v>
      </c>
      <c r="B199" s="13" t="str">
        <f>"023139"</f>
        <v>023139</v>
      </c>
      <c r="C199" s="13" t="s">
        <v>166</v>
      </c>
      <c r="D199" s="14">
        <v>56</v>
      </c>
      <c r="E199" s="13" t="s">
        <v>167</v>
      </c>
    </row>
    <row r="200" spans="1:5" x14ac:dyDescent="0.25">
      <c r="A200" s="13">
        <v>20171016</v>
      </c>
      <c r="B200" s="13" t="str">
        <f>"023139"</f>
        <v>023139</v>
      </c>
      <c r="C200" s="13" t="s">
        <v>166</v>
      </c>
      <c r="D200" s="14">
        <v>28</v>
      </c>
      <c r="E200" s="13" t="s">
        <v>168</v>
      </c>
    </row>
    <row r="201" spans="1:5" x14ac:dyDescent="0.25">
      <c r="A201" s="13">
        <v>20171016</v>
      </c>
      <c r="B201" s="13" t="str">
        <f t="shared" ref="B201:B206" si="2">"023140"</f>
        <v>023140</v>
      </c>
      <c r="C201" s="13" t="s">
        <v>123</v>
      </c>
      <c r="D201" s="14">
        <v>1054.52</v>
      </c>
      <c r="E201" s="13" t="s">
        <v>124</v>
      </c>
    </row>
    <row r="202" spans="1:5" x14ac:dyDescent="0.25">
      <c r="A202" s="13">
        <v>20171016</v>
      </c>
      <c r="B202" s="13" t="str">
        <f t="shared" si="2"/>
        <v>023140</v>
      </c>
      <c r="C202" s="13" t="s">
        <v>123</v>
      </c>
      <c r="D202" s="14">
        <v>21.48</v>
      </c>
      <c r="E202" s="13" t="s">
        <v>124</v>
      </c>
    </row>
    <row r="203" spans="1:5" x14ac:dyDescent="0.25">
      <c r="A203" s="13">
        <v>20171016</v>
      </c>
      <c r="B203" s="13" t="str">
        <f t="shared" si="2"/>
        <v>023140</v>
      </c>
      <c r="C203" s="13" t="s">
        <v>123</v>
      </c>
      <c r="D203" s="14">
        <v>45.76</v>
      </c>
      <c r="E203" s="13" t="s">
        <v>124</v>
      </c>
    </row>
    <row r="204" spans="1:5" x14ac:dyDescent="0.25">
      <c r="A204" s="13">
        <v>20171016</v>
      </c>
      <c r="B204" s="13" t="str">
        <f t="shared" si="2"/>
        <v>023140</v>
      </c>
      <c r="C204" s="13" t="s">
        <v>123</v>
      </c>
      <c r="D204" s="14">
        <v>37.51</v>
      </c>
      <c r="E204" s="13" t="s">
        <v>124</v>
      </c>
    </row>
    <row r="205" spans="1:5" x14ac:dyDescent="0.25">
      <c r="A205" s="13">
        <v>20171016</v>
      </c>
      <c r="B205" s="13" t="str">
        <f t="shared" si="2"/>
        <v>023140</v>
      </c>
      <c r="C205" s="13" t="s">
        <v>123</v>
      </c>
      <c r="D205" s="14">
        <v>69.81</v>
      </c>
      <c r="E205" s="13" t="s">
        <v>124</v>
      </c>
    </row>
    <row r="206" spans="1:5" x14ac:dyDescent="0.25">
      <c r="A206" s="13">
        <v>20171016</v>
      </c>
      <c r="B206" s="13" t="str">
        <f t="shared" si="2"/>
        <v>023140</v>
      </c>
      <c r="C206" s="13" t="s">
        <v>123</v>
      </c>
      <c r="D206" s="14">
        <v>137.19999999999999</v>
      </c>
      <c r="E206" s="13" t="s">
        <v>124</v>
      </c>
    </row>
    <row r="207" spans="1:5" x14ac:dyDescent="0.25">
      <c r="A207" s="13">
        <v>20171016</v>
      </c>
      <c r="B207" s="13" t="str">
        <f>"023141"</f>
        <v>023141</v>
      </c>
      <c r="C207" s="13" t="s">
        <v>169</v>
      </c>
      <c r="D207" s="14">
        <v>988.04</v>
      </c>
      <c r="E207" s="13" t="s">
        <v>170</v>
      </c>
    </row>
    <row r="208" spans="1:5" x14ac:dyDescent="0.25">
      <c r="A208" s="13">
        <v>20171016</v>
      </c>
      <c r="B208" s="13" t="str">
        <f>"023142"</f>
        <v>023142</v>
      </c>
      <c r="C208" s="13" t="s">
        <v>18</v>
      </c>
      <c r="D208" s="14">
        <v>49.99</v>
      </c>
      <c r="E208" s="13" t="s">
        <v>171</v>
      </c>
    </row>
    <row r="209" spans="1:5" x14ac:dyDescent="0.25">
      <c r="A209" s="13">
        <v>20171016</v>
      </c>
      <c r="B209" s="13" t="str">
        <f>"023142"</f>
        <v>023142</v>
      </c>
      <c r="C209" s="13" t="s">
        <v>18</v>
      </c>
      <c r="D209" s="14">
        <v>31.99</v>
      </c>
      <c r="E209" s="13" t="s">
        <v>172</v>
      </c>
    </row>
    <row r="210" spans="1:5" x14ac:dyDescent="0.25">
      <c r="A210" s="13">
        <v>20171016</v>
      </c>
      <c r="B210" s="13" t="str">
        <f>"023142"</f>
        <v>023142</v>
      </c>
      <c r="C210" s="13" t="s">
        <v>18</v>
      </c>
      <c r="D210" s="14">
        <v>24.07</v>
      </c>
      <c r="E210" s="13" t="s">
        <v>172</v>
      </c>
    </row>
    <row r="211" spans="1:5" x14ac:dyDescent="0.25">
      <c r="A211" s="13">
        <v>20171016</v>
      </c>
      <c r="B211" s="13" t="str">
        <f>"023142"</f>
        <v>023142</v>
      </c>
      <c r="C211" s="13" t="s">
        <v>18</v>
      </c>
      <c r="D211" s="14">
        <v>13.58</v>
      </c>
      <c r="E211" s="13" t="s">
        <v>173</v>
      </c>
    </row>
    <row r="212" spans="1:5" x14ac:dyDescent="0.25">
      <c r="A212" s="13">
        <v>20171019</v>
      </c>
      <c r="B212" s="13" t="str">
        <f>"023145"</f>
        <v>023145</v>
      </c>
      <c r="C212" s="13" t="s">
        <v>174</v>
      </c>
      <c r="D212" s="14">
        <v>1000</v>
      </c>
      <c r="E212" s="13" t="s">
        <v>175</v>
      </c>
    </row>
    <row r="213" spans="1:5" x14ac:dyDescent="0.25">
      <c r="A213" s="13">
        <v>20171019</v>
      </c>
      <c r="B213" s="13" t="str">
        <f>"023145"</f>
        <v>023145</v>
      </c>
      <c r="C213" s="13" t="s">
        <v>174</v>
      </c>
      <c r="D213" s="14">
        <v>650</v>
      </c>
      <c r="E213" s="13" t="s">
        <v>176</v>
      </c>
    </row>
    <row r="214" spans="1:5" x14ac:dyDescent="0.25">
      <c r="A214" s="13">
        <v>20171019</v>
      </c>
      <c r="B214" s="13" t="str">
        <f>"023146"</f>
        <v>023146</v>
      </c>
      <c r="C214" s="13" t="s">
        <v>76</v>
      </c>
      <c r="D214" s="14">
        <v>202.46</v>
      </c>
      <c r="E214" s="13" t="s">
        <v>77</v>
      </c>
    </row>
    <row r="215" spans="1:5" x14ac:dyDescent="0.25">
      <c r="A215" s="13">
        <v>20171019</v>
      </c>
      <c r="B215" s="13" t="str">
        <f>"023146"</f>
        <v>023146</v>
      </c>
      <c r="C215" s="13" t="s">
        <v>76</v>
      </c>
      <c r="D215" s="14">
        <v>213.94</v>
      </c>
      <c r="E215" s="13" t="s">
        <v>77</v>
      </c>
    </row>
    <row r="216" spans="1:5" x14ac:dyDescent="0.25">
      <c r="A216" s="13">
        <v>20171019</v>
      </c>
      <c r="B216" s="13" t="str">
        <f>"023146"</f>
        <v>023146</v>
      </c>
      <c r="C216" s="13" t="s">
        <v>76</v>
      </c>
      <c r="D216" s="14">
        <v>67.489999999999995</v>
      </c>
      <c r="E216" s="13" t="s">
        <v>77</v>
      </c>
    </row>
    <row r="217" spans="1:5" x14ac:dyDescent="0.25">
      <c r="A217" s="13">
        <v>20171019</v>
      </c>
      <c r="B217" s="13" t="str">
        <f>"023146"</f>
        <v>023146</v>
      </c>
      <c r="C217" s="13" t="s">
        <v>76</v>
      </c>
      <c r="D217" s="14">
        <v>67.489999999999995</v>
      </c>
      <c r="E217" s="13" t="s">
        <v>77</v>
      </c>
    </row>
    <row r="218" spans="1:5" x14ac:dyDescent="0.25">
      <c r="A218" s="13">
        <v>20171019</v>
      </c>
      <c r="B218" s="13" t="str">
        <f>"023147"</f>
        <v>023147</v>
      </c>
      <c r="C218" s="13" t="s">
        <v>177</v>
      </c>
      <c r="D218" s="14">
        <v>546.70000000000005</v>
      </c>
      <c r="E218" s="13" t="s">
        <v>178</v>
      </c>
    </row>
    <row r="219" spans="1:5" x14ac:dyDescent="0.25">
      <c r="A219" s="13">
        <v>20171019</v>
      </c>
      <c r="B219" s="13" t="str">
        <f>"023148"</f>
        <v>023148</v>
      </c>
      <c r="C219" s="13" t="s">
        <v>179</v>
      </c>
      <c r="D219" s="14">
        <v>184</v>
      </c>
      <c r="E219" s="13" t="s">
        <v>180</v>
      </c>
    </row>
    <row r="220" spans="1:5" x14ac:dyDescent="0.25">
      <c r="A220" s="13">
        <v>20171019</v>
      </c>
      <c r="B220" s="13" t="str">
        <f>"023149"</f>
        <v>023149</v>
      </c>
      <c r="C220" s="13" t="s">
        <v>2</v>
      </c>
      <c r="D220" s="14">
        <v>26.47</v>
      </c>
      <c r="E220" s="13" t="s">
        <v>181</v>
      </c>
    </row>
    <row r="221" spans="1:5" x14ac:dyDescent="0.25">
      <c r="A221" s="13">
        <v>20171019</v>
      </c>
      <c r="B221" s="13" t="str">
        <f>"023149"</f>
        <v>023149</v>
      </c>
      <c r="C221" s="13" t="s">
        <v>2</v>
      </c>
      <c r="D221" s="14">
        <v>390.11</v>
      </c>
      <c r="E221" s="13" t="s">
        <v>182</v>
      </c>
    </row>
    <row r="222" spans="1:5" x14ac:dyDescent="0.25">
      <c r="A222" s="13">
        <v>20171019</v>
      </c>
      <c r="B222" s="13" t="str">
        <f>"023149"</f>
        <v>023149</v>
      </c>
      <c r="C222" s="13" t="s">
        <v>2</v>
      </c>
      <c r="D222" s="14">
        <v>42.39</v>
      </c>
      <c r="E222" s="13" t="s">
        <v>167</v>
      </c>
    </row>
    <row r="223" spans="1:5" x14ac:dyDescent="0.25">
      <c r="A223" s="13">
        <v>20171019</v>
      </c>
      <c r="B223" s="13" t="str">
        <f>"023149"</f>
        <v>023149</v>
      </c>
      <c r="C223" s="13" t="s">
        <v>2</v>
      </c>
      <c r="D223" s="14">
        <v>403.42</v>
      </c>
      <c r="E223" s="13" t="s">
        <v>183</v>
      </c>
    </row>
    <row r="224" spans="1:5" x14ac:dyDescent="0.25">
      <c r="A224" s="13">
        <v>20171025</v>
      </c>
      <c r="B224" s="13" t="str">
        <f>"023150"</f>
        <v>023150</v>
      </c>
      <c r="C224" s="13" t="s">
        <v>74</v>
      </c>
      <c r="D224" s="14">
        <v>11.86</v>
      </c>
      <c r="E224" s="13" t="s">
        <v>75</v>
      </c>
    </row>
    <row r="225" spans="1:5" x14ac:dyDescent="0.25">
      <c r="A225" s="13">
        <v>20171025</v>
      </c>
      <c r="B225" s="13" t="str">
        <f>"023151"</f>
        <v>023151</v>
      </c>
      <c r="C225" s="13" t="s">
        <v>144</v>
      </c>
      <c r="D225" s="14">
        <v>828</v>
      </c>
      <c r="E225" s="13" t="s">
        <v>184</v>
      </c>
    </row>
    <row r="226" spans="1:5" x14ac:dyDescent="0.25">
      <c r="A226" s="13">
        <v>20171025</v>
      </c>
      <c r="B226" s="13" t="str">
        <f>"023151"</f>
        <v>023151</v>
      </c>
      <c r="C226" s="13" t="s">
        <v>144</v>
      </c>
      <c r="D226" s="14">
        <v>260</v>
      </c>
      <c r="E226" s="13" t="s">
        <v>185</v>
      </c>
    </row>
    <row r="227" spans="1:5" x14ac:dyDescent="0.25">
      <c r="A227" s="13">
        <v>20171025</v>
      </c>
      <c r="B227" s="13" t="str">
        <f>"023153"</f>
        <v>023153</v>
      </c>
      <c r="C227" s="13" t="s">
        <v>80</v>
      </c>
      <c r="D227" s="14">
        <v>121.78</v>
      </c>
      <c r="E227" s="13" t="s">
        <v>81</v>
      </c>
    </row>
    <row r="228" spans="1:5" x14ac:dyDescent="0.25">
      <c r="A228" s="13">
        <v>20171025</v>
      </c>
      <c r="B228" s="13" t="str">
        <f>"023155"</f>
        <v>023155</v>
      </c>
      <c r="C228" s="13" t="s">
        <v>84</v>
      </c>
      <c r="D228" s="14">
        <v>550.20000000000005</v>
      </c>
      <c r="E228" s="13" t="s">
        <v>85</v>
      </c>
    </row>
    <row r="229" spans="1:5" x14ac:dyDescent="0.25">
      <c r="A229" s="13">
        <v>20171025</v>
      </c>
      <c r="B229" s="13" t="str">
        <f>"023155"</f>
        <v>023155</v>
      </c>
      <c r="C229" s="13" t="s">
        <v>84</v>
      </c>
      <c r="D229" s="14">
        <v>759.8</v>
      </c>
      <c r="E229" s="13" t="s">
        <v>85</v>
      </c>
    </row>
    <row r="230" spans="1:5" x14ac:dyDescent="0.25">
      <c r="A230" s="13">
        <v>20171025</v>
      </c>
      <c r="B230" s="13" t="str">
        <f>"023156"</f>
        <v>023156</v>
      </c>
      <c r="C230" s="13" t="s">
        <v>42</v>
      </c>
      <c r="D230" s="14">
        <v>39.96</v>
      </c>
      <c r="E230" s="13" t="s">
        <v>186</v>
      </c>
    </row>
    <row r="231" spans="1:5" x14ac:dyDescent="0.25">
      <c r="A231" s="13">
        <v>20171025</v>
      </c>
      <c r="B231" s="13" t="str">
        <f>"023157"</f>
        <v>023157</v>
      </c>
      <c r="C231" s="13" t="s">
        <v>99</v>
      </c>
      <c r="D231" s="14">
        <v>8.99</v>
      </c>
      <c r="E231" s="13" t="s">
        <v>187</v>
      </c>
    </row>
    <row r="232" spans="1:5" x14ac:dyDescent="0.25">
      <c r="A232" s="13">
        <v>20171025</v>
      </c>
      <c r="B232" s="13" t="str">
        <f>"023158"</f>
        <v>023158</v>
      </c>
      <c r="C232" s="13" t="s">
        <v>135</v>
      </c>
      <c r="D232" s="14">
        <v>58.9</v>
      </c>
      <c r="E232" s="13" t="s">
        <v>188</v>
      </c>
    </row>
    <row r="233" spans="1:5" x14ac:dyDescent="0.25">
      <c r="A233" s="13">
        <v>20171025</v>
      </c>
      <c r="B233" s="13" t="str">
        <f>"023159"</f>
        <v>023159</v>
      </c>
      <c r="C233" s="13" t="s">
        <v>18</v>
      </c>
      <c r="D233" s="14">
        <v>24.95</v>
      </c>
      <c r="E233" s="13" t="s">
        <v>171</v>
      </c>
    </row>
    <row r="234" spans="1:5" x14ac:dyDescent="0.25">
      <c r="A234" s="13">
        <v>20171025</v>
      </c>
      <c r="B234" s="13" t="str">
        <f>"023160"</f>
        <v>023160</v>
      </c>
      <c r="C234" s="13" t="s">
        <v>189</v>
      </c>
      <c r="D234" s="14">
        <v>840.85</v>
      </c>
      <c r="E234" s="13" t="s">
        <v>190</v>
      </c>
    </row>
    <row r="235" spans="1:5" x14ac:dyDescent="0.25">
      <c r="A235" s="13">
        <v>20171025</v>
      </c>
      <c r="B235" s="13" t="str">
        <f>"023161"</f>
        <v>023161</v>
      </c>
      <c r="C235" s="13" t="s">
        <v>191</v>
      </c>
      <c r="D235" s="14">
        <v>1917</v>
      </c>
      <c r="E235" s="13" t="s">
        <v>192</v>
      </c>
    </row>
    <row r="236" spans="1:5" x14ac:dyDescent="0.25">
      <c r="A236" s="13">
        <v>20171025</v>
      </c>
      <c r="B236" s="13" t="str">
        <f>"023162"</f>
        <v>023162</v>
      </c>
      <c r="C236" s="13" t="s">
        <v>193</v>
      </c>
      <c r="D236" s="14">
        <v>82.94</v>
      </c>
      <c r="E236" s="13" t="s">
        <v>194</v>
      </c>
    </row>
    <row r="237" spans="1:5" x14ac:dyDescent="0.25">
      <c r="A237" s="13">
        <v>20171025</v>
      </c>
      <c r="B237" s="13" t="str">
        <f>"023163"</f>
        <v>023163</v>
      </c>
      <c r="C237" s="13" t="s">
        <v>195</v>
      </c>
      <c r="D237" s="14">
        <v>111.65</v>
      </c>
      <c r="E237" s="13" t="s">
        <v>196</v>
      </c>
    </row>
    <row r="238" spans="1:5" x14ac:dyDescent="0.25">
      <c r="A238" s="13">
        <v>20171025</v>
      </c>
      <c r="B238" s="13" t="str">
        <f>"023164"</f>
        <v>023164</v>
      </c>
      <c r="C238" s="13" t="s">
        <v>197</v>
      </c>
      <c r="D238" s="14">
        <v>177</v>
      </c>
      <c r="E238" s="13" t="s">
        <v>198</v>
      </c>
    </row>
    <row r="239" spans="1:5" x14ac:dyDescent="0.25">
      <c r="A239" s="13">
        <v>20171031</v>
      </c>
      <c r="B239" s="13" t="str">
        <f>"023165"</f>
        <v>023165</v>
      </c>
      <c r="C239" s="13" t="s">
        <v>144</v>
      </c>
      <c r="D239" s="14">
        <v>197.5</v>
      </c>
      <c r="E239" s="13" t="s">
        <v>199</v>
      </c>
    </row>
    <row r="240" spans="1:5" x14ac:dyDescent="0.25">
      <c r="A240" s="13">
        <v>20171031</v>
      </c>
      <c r="B240" s="13" t="str">
        <f>"023168"</f>
        <v>023168</v>
      </c>
      <c r="C240" s="13" t="s">
        <v>155</v>
      </c>
      <c r="D240" s="14">
        <v>12</v>
      </c>
      <c r="E240" s="13" t="s">
        <v>156</v>
      </c>
    </row>
    <row r="241" spans="1:5" x14ac:dyDescent="0.25">
      <c r="A241" s="13">
        <v>20171031</v>
      </c>
      <c r="B241" s="13" t="str">
        <f>"023169"</f>
        <v>023169</v>
      </c>
      <c r="C241" s="13" t="s">
        <v>169</v>
      </c>
      <c r="D241" s="14">
        <v>268.43</v>
      </c>
      <c r="E241" s="13" t="s">
        <v>200</v>
      </c>
    </row>
    <row r="242" spans="1:5" x14ac:dyDescent="0.25">
      <c r="A242" s="13">
        <v>20171031</v>
      </c>
      <c r="B242" s="13" t="str">
        <f>"023170"</f>
        <v>023170</v>
      </c>
      <c r="C242" s="13" t="s">
        <v>8</v>
      </c>
      <c r="D242" s="14">
        <v>50</v>
      </c>
      <c r="E242" s="13" t="s">
        <v>201</v>
      </c>
    </row>
    <row r="243" spans="1:5" x14ac:dyDescent="0.25">
      <c r="A243" s="13">
        <v>20171031</v>
      </c>
      <c r="B243" s="13" t="str">
        <f>"023171"</f>
        <v>023171</v>
      </c>
      <c r="C243" s="13" t="s">
        <v>202</v>
      </c>
      <c r="D243" s="14">
        <v>46.77</v>
      </c>
      <c r="E243" s="13" t="s">
        <v>203</v>
      </c>
    </row>
    <row r="244" spans="1:5" x14ac:dyDescent="0.25">
      <c r="A244" s="13">
        <v>20171031</v>
      </c>
      <c r="B244" s="13" t="str">
        <f>"023172"</f>
        <v>023172</v>
      </c>
      <c r="C244" s="13" t="s">
        <v>68</v>
      </c>
      <c r="D244" s="14">
        <v>329.98</v>
      </c>
      <c r="E244" s="13" t="s">
        <v>204</v>
      </c>
    </row>
    <row r="245" spans="1:5" x14ac:dyDescent="0.25">
      <c r="A245" s="13">
        <v>20171031</v>
      </c>
      <c r="B245" s="13" t="str">
        <f>"023172"</f>
        <v>023172</v>
      </c>
      <c r="C245" s="13" t="s">
        <v>68</v>
      </c>
      <c r="D245" s="14">
        <v>371.36</v>
      </c>
      <c r="E245" s="13" t="s">
        <v>205</v>
      </c>
    </row>
    <row r="246" spans="1:5" x14ac:dyDescent="0.25">
      <c r="A246" s="13">
        <v>20171031</v>
      </c>
      <c r="B246" s="13" t="str">
        <f>"023173"</f>
        <v>023173</v>
      </c>
      <c r="C246" s="13" t="s">
        <v>206</v>
      </c>
      <c r="D246" s="14">
        <v>1239.54</v>
      </c>
      <c r="E246" s="13" t="s">
        <v>207</v>
      </c>
    </row>
    <row r="247" spans="1:5" x14ac:dyDescent="0.25">
      <c r="A247" s="13">
        <v>20171031</v>
      </c>
      <c r="B247" s="13" t="str">
        <f>"023175"</f>
        <v>023175</v>
      </c>
      <c r="C247" s="13" t="s">
        <v>56</v>
      </c>
      <c r="D247" s="14">
        <v>270.48</v>
      </c>
      <c r="E247" s="13" t="s">
        <v>57</v>
      </c>
    </row>
    <row r="248" spans="1:5" x14ac:dyDescent="0.25">
      <c r="A248" s="13">
        <v>20171031</v>
      </c>
      <c r="B248" s="13" t="str">
        <f>"023176"</f>
        <v>023176</v>
      </c>
      <c r="C248" s="13" t="s">
        <v>42</v>
      </c>
      <c r="D248" s="14">
        <v>174.95</v>
      </c>
      <c r="E248" s="13" t="s">
        <v>208</v>
      </c>
    </row>
    <row r="249" spans="1:5" x14ac:dyDescent="0.25">
      <c r="A249" s="13">
        <v>20171031</v>
      </c>
      <c r="B249" s="13" t="str">
        <f>"023176"</f>
        <v>023176</v>
      </c>
      <c r="C249" s="13" t="s">
        <v>42</v>
      </c>
      <c r="D249" s="14">
        <v>51.99</v>
      </c>
      <c r="E249" s="13" t="s">
        <v>209</v>
      </c>
    </row>
    <row r="250" spans="1:5" x14ac:dyDescent="0.25">
      <c r="A250" s="13">
        <v>20171031</v>
      </c>
      <c r="B250" s="13" t="str">
        <f>"023177"</f>
        <v>023177</v>
      </c>
      <c r="C250" s="13" t="s">
        <v>99</v>
      </c>
      <c r="D250" s="14">
        <v>86.83</v>
      </c>
      <c r="E250" s="13" t="s">
        <v>187</v>
      </c>
    </row>
    <row r="251" spans="1:5" x14ac:dyDescent="0.25">
      <c r="A251" s="13">
        <v>20171031</v>
      </c>
      <c r="B251" s="13" t="str">
        <f>"023178"</f>
        <v>023178</v>
      </c>
      <c r="C251" s="13" t="s">
        <v>18</v>
      </c>
      <c r="D251" s="14">
        <v>314.58999999999997</v>
      </c>
      <c r="E251" s="13" t="s">
        <v>19</v>
      </c>
    </row>
    <row r="252" spans="1:5" x14ac:dyDescent="0.25">
      <c r="A252" s="13">
        <v>20171031</v>
      </c>
      <c r="B252" s="13" t="str">
        <f>"023179"</f>
        <v>023179</v>
      </c>
      <c r="C252" s="13" t="s">
        <v>8</v>
      </c>
      <c r="D252" s="14">
        <v>160</v>
      </c>
      <c r="E252" s="13" t="s">
        <v>210</v>
      </c>
    </row>
    <row r="253" spans="1:5" x14ac:dyDescent="0.25">
      <c r="A253" s="13">
        <v>20171031</v>
      </c>
      <c r="B253" s="13" t="str">
        <f>"023181"</f>
        <v>023181</v>
      </c>
      <c r="C253" s="13" t="s">
        <v>211</v>
      </c>
      <c r="D253" s="14">
        <v>524.71</v>
      </c>
      <c r="E253" s="13" t="s">
        <v>212</v>
      </c>
    </row>
    <row r="254" spans="1:5" x14ac:dyDescent="0.25">
      <c r="C254" s="11" t="s">
        <v>781</v>
      </c>
      <c r="D254" s="12">
        <f>SUM(D159:D253)</f>
        <v>83465.41</v>
      </c>
    </row>
    <row r="255" spans="1:5" x14ac:dyDescent="0.25">
      <c r="A255" s="13">
        <v>20171113</v>
      </c>
      <c r="B255" s="13" t="str">
        <f>"023183"</f>
        <v>023183</v>
      </c>
      <c r="C255" s="13" t="s">
        <v>213</v>
      </c>
      <c r="D255" s="14">
        <v>1800</v>
      </c>
      <c r="E255" s="13" t="s">
        <v>214</v>
      </c>
    </row>
    <row r="256" spans="1:5" x14ac:dyDescent="0.25">
      <c r="A256" s="13">
        <v>20171113</v>
      </c>
      <c r="B256" s="13" t="str">
        <f>"023184"</f>
        <v>023184</v>
      </c>
      <c r="C256" s="13" t="s">
        <v>215</v>
      </c>
      <c r="D256" s="14">
        <v>200</v>
      </c>
      <c r="E256" s="13" t="s">
        <v>216</v>
      </c>
    </row>
    <row r="257" spans="1:5" x14ac:dyDescent="0.25">
      <c r="A257" s="13">
        <v>20171113</v>
      </c>
      <c r="B257" s="13" t="str">
        <f>"023184"</f>
        <v>023184</v>
      </c>
      <c r="C257" s="13" t="s">
        <v>215</v>
      </c>
      <c r="D257" s="14">
        <v>100</v>
      </c>
      <c r="E257" s="13" t="s">
        <v>217</v>
      </c>
    </row>
    <row r="258" spans="1:5" x14ac:dyDescent="0.25">
      <c r="A258" s="13">
        <v>20171114</v>
      </c>
      <c r="B258" s="13" t="str">
        <f>"023188"</f>
        <v>023188</v>
      </c>
      <c r="C258" s="13" t="s">
        <v>157</v>
      </c>
      <c r="D258" s="14">
        <v>111.11</v>
      </c>
      <c r="E258" s="13" t="s">
        <v>158</v>
      </c>
    </row>
    <row r="259" spans="1:5" x14ac:dyDescent="0.25">
      <c r="A259" s="13">
        <v>20171114</v>
      </c>
      <c r="B259" s="13" t="str">
        <f>"023189"</f>
        <v>023189</v>
      </c>
      <c r="C259" s="13" t="s">
        <v>46</v>
      </c>
      <c r="D259" s="14">
        <v>12.5</v>
      </c>
      <c r="E259" s="13" t="s">
        <v>47</v>
      </c>
    </row>
    <row r="260" spans="1:5" x14ac:dyDescent="0.25">
      <c r="A260" s="13">
        <v>20171114</v>
      </c>
      <c r="B260" s="13" t="str">
        <f>"023190"</f>
        <v>023190</v>
      </c>
      <c r="C260" s="13" t="s">
        <v>218</v>
      </c>
      <c r="D260" s="14">
        <v>940.2</v>
      </c>
      <c r="E260" s="13" t="s">
        <v>219</v>
      </c>
    </row>
    <row r="261" spans="1:5" x14ac:dyDescent="0.25">
      <c r="A261" s="13">
        <v>20171114</v>
      </c>
      <c r="B261" s="13" t="str">
        <f>"023191"</f>
        <v>023191</v>
      </c>
      <c r="C261" s="13" t="s">
        <v>50</v>
      </c>
      <c r="D261" s="14">
        <v>7</v>
      </c>
      <c r="E261" s="13" t="s">
        <v>51</v>
      </c>
    </row>
    <row r="262" spans="1:5" x14ac:dyDescent="0.25">
      <c r="A262" s="13">
        <v>20171114</v>
      </c>
      <c r="B262" s="13" t="str">
        <f t="shared" ref="B262:B267" si="3">"023192"</f>
        <v>023192</v>
      </c>
      <c r="C262" s="13" t="s">
        <v>123</v>
      </c>
      <c r="D262" s="14">
        <v>20.36</v>
      </c>
      <c r="E262" s="13" t="s">
        <v>124</v>
      </c>
    </row>
    <row r="263" spans="1:5" x14ac:dyDescent="0.25">
      <c r="A263" s="13">
        <v>20171114</v>
      </c>
      <c r="B263" s="13" t="str">
        <f t="shared" si="3"/>
        <v>023192</v>
      </c>
      <c r="C263" s="13" t="s">
        <v>123</v>
      </c>
      <c r="D263" s="14">
        <v>44.17</v>
      </c>
      <c r="E263" s="13" t="s">
        <v>124</v>
      </c>
    </row>
    <row r="264" spans="1:5" x14ac:dyDescent="0.25">
      <c r="A264" s="13">
        <v>20171114</v>
      </c>
      <c r="B264" s="13" t="str">
        <f t="shared" si="3"/>
        <v>023192</v>
      </c>
      <c r="C264" s="13" t="s">
        <v>123</v>
      </c>
      <c r="D264" s="14">
        <v>212.78</v>
      </c>
      <c r="E264" s="13" t="s">
        <v>124</v>
      </c>
    </row>
    <row r="265" spans="1:5" x14ac:dyDescent="0.25">
      <c r="A265" s="13">
        <v>20171114</v>
      </c>
      <c r="B265" s="13" t="str">
        <f t="shared" si="3"/>
        <v>023192</v>
      </c>
      <c r="C265" s="13" t="s">
        <v>123</v>
      </c>
      <c r="D265" s="14">
        <v>67.14</v>
      </c>
      <c r="E265" s="13" t="s">
        <v>124</v>
      </c>
    </row>
    <row r="266" spans="1:5" x14ac:dyDescent="0.25">
      <c r="A266" s="13">
        <v>20171114</v>
      </c>
      <c r="B266" s="13" t="str">
        <f t="shared" si="3"/>
        <v>023192</v>
      </c>
      <c r="C266" s="13" t="s">
        <v>123</v>
      </c>
      <c r="D266" s="14">
        <v>32.54</v>
      </c>
      <c r="E266" s="13" t="s">
        <v>124</v>
      </c>
    </row>
    <row r="267" spans="1:5" x14ac:dyDescent="0.25">
      <c r="A267" s="13">
        <v>20171114</v>
      </c>
      <c r="B267" s="13" t="str">
        <f t="shared" si="3"/>
        <v>023192</v>
      </c>
      <c r="C267" s="13" t="s">
        <v>123</v>
      </c>
      <c r="D267" s="14">
        <v>791.54</v>
      </c>
      <c r="E267" s="13" t="s">
        <v>124</v>
      </c>
    </row>
    <row r="268" spans="1:5" x14ac:dyDescent="0.25">
      <c r="A268" s="13">
        <v>20171114</v>
      </c>
      <c r="B268" s="13" t="str">
        <f>"023193"</f>
        <v>023193</v>
      </c>
      <c r="C268" s="13" t="s">
        <v>220</v>
      </c>
      <c r="D268" s="14">
        <v>13737.82</v>
      </c>
      <c r="E268" s="13" t="s">
        <v>221</v>
      </c>
    </row>
    <row r="269" spans="1:5" x14ac:dyDescent="0.25">
      <c r="A269" s="13">
        <v>20171114</v>
      </c>
      <c r="B269" s="13" t="str">
        <f>"023194"</f>
        <v>023194</v>
      </c>
      <c r="C269" s="13" t="s">
        <v>4</v>
      </c>
      <c r="D269" s="14">
        <v>113.42</v>
      </c>
      <c r="E269" s="13" t="s">
        <v>222</v>
      </c>
    </row>
    <row r="270" spans="1:5" x14ac:dyDescent="0.25">
      <c r="A270" s="13">
        <v>20171114</v>
      </c>
      <c r="B270" s="13" t="str">
        <f>"023194"</f>
        <v>023194</v>
      </c>
      <c r="C270" s="13" t="s">
        <v>4</v>
      </c>
      <c r="D270" s="14">
        <v>7.11</v>
      </c>
      <c r="E270" s="13" t="s">
        <v>222</v>
      </c>
    </row>
    <row r="271" spans="1:5" x14ac:dyDescent="0.25">
      <c r="A271" s="13">
        <v>20171114</v>
      </c>
      <c r="B271" s="13" t="str">
        <f>"023194"</f>
        <v>023194</v>
      </c>
      <c r="C271" s="13" t="s">
        <v>4</v>
      </c>
      <c r="D271" s="14">
        <v>22.42</v>
      </c>
      <c r="E271" s="13" t="s">
        <v>147</v>
      </c>
    </row>
    <row r="272" spans="1:5" x14ac:dyDescent="0.25">
      <c r="A272" s="13">
        <v>20171114</v>
      </c>
      <c r="B272" s="13" t="str">
        <f>"023194"</f>
        <v>023194</v>
      </c>
      <c r="C272" s="13" t="s">
        <v>4</v>
      </c>
      <c r="D272" s="14">
        <v>61.85</v>
      </c>
      <c r="E272" s="13" t="s">
        <v>223</v>
      </c>
    </row>
    <row r="273" spans="1:5" x14ac:dyDescent="0.25">
      <c r="A273" s="13">
        <v>20171114</v>
      </c>
      <c r="B273" s="13" t="str">
        <f>"023195"</f>
        <v>023195</v>
      </c>
      <c r="C273" s="13" t="s">
        <v>224</v>
      </c>
      <c r="D273" s="14">
        <v>17</v>
      </c>
      <c r="E273" s="13" t="s">
        <v>225</v>
      </c>
    </row>
    <row r="274" spans="1:5" x14ac:dyDescent="0.25">
      <c r="A274" s="13">
        <v>20171114</v>
      </c>
      <c r="B274" s="13" t="str">
        <f>"023196"</f>
        <v>023196</v>
      </c>
      <c r="C274" s="13" t="s">
        <v>84</v>
      </c>
      <c r="D274" s="14">
        <v>540.79</v>
      </c>
      <c r="E274" s="13" t="s">
        <v>85</v>
      </c>
    </row>
    <row r="275" spans="1:5" x14ac:dyDescent="0.25">
      <c r="A275" s="13">
        <v>20171114</v>
      </c>
      <c r="B275" s="13" t="str">
        <f>"023196"</f>
        <v>023196</v>
      </c>
      <c r="C275" s="13" t="s">
        <v>84</v>
      </c>
      <c r="D275" s="14">
        <v>778.21</v>
      </c>
      <c r="E275" s="13" t="s">
        <v>85</v>
      </c>
    </row>
    <row r="276" spans="1:5" x14ac:dyDescent="0.25">
      <c r="A276" s="13">
        <v>20171114</v>
      </c>
      <c r="B276" s="13" t="str">
        <f>"023197"</f>
        <v>023197</v>
      </c>
      <c r="C276" s="13" t="s">
        <v>133</v>
      </c>
      <c r="D276" s="14">
        <v>296.64</v>
      </c>
      <c r="E276" s="13" t="s">
        <v>134</v>
      </c>
    </row>
    <row r="277" spans="1:5" x14ac:dyDescent="0.25">
      <c r="A277" s="13">
        <v>20171114</v>
      </c>
      <c r="B277" s="13" t="str">
        <f>"023198"</f>
        <v>023198</v>
      </c>
      <c r="C277" s="13" t="s">
        <v>226</v>
      </c>
      <c r="D277" s="14">
        <v>84.99</v>
      </c>
      <c r="E277" s="13" t="s">
        <v>227</v>
      </c>
    </row>
    <row r="278" spans="1:5" x14ac:dyDescent="0.25">
      <c r="A278" s="13">
        <v>20171114</v>
      </c>
      <c r="B278" s="13" t="str">
        <f t="shared" ref="B278:B288" si="4">"023200"</f>
        <v>023200</v>
      </c>
      <c r="C278" s="13" t="s">
        <v>18</v>
      </c>
      <c r="D278" s="14">
        <v>413.56</v>
      </c>
      <c r="E278" s="13" t="s">
        <v>72</v>
      </c>
    </row>
    <row r="279" spans="1:5" x14ac:dyDescent="0.25">
      <c r="A279" s="13">
        <v>20171114</v>
      </c>
      <c r="B279" s="13" t="str">
        <f t="shared" si="4"/>
        <v>023200</v>
      </c>
      <c r="C279" s="13" t="s">
        <v>18</v>
      </c>
      <c r="D279" s="14">
        <v>237.59</v>
      </c>
      <c r="E279" s="13" t="s">
        <v>72</v>
      </c>
    </row>
    <row r="280" spans="1:5" x14ac:dyDescent="0.25">
      <c r="A280" s="13">
        <v>20171114</v>
      </c>
      <c r="B280" s="13" t="str">
        <f t="shared" si="4"/>
        <v>023200</v>
      </c>
      <c r="C280" s="13" t="s">
        <v>18</v>
      </c>
      <c r="D280" s="14">
        <v>5.98</v>
      </c>
      <c r="E280" s="13" t="s">
        <v>149</v>
      </c>
    </row>
    <row r="281" spans="1:5" x14ac:dyDescent="0.25">
      <c r="A281" s="13">
        <v>20171114</v>
      </c>
      <c r="B281" s="13" t="str">
        <f t="shared" si="4"/>
        <v>023200</v>
      </c>
      <c r="C281" s="13" t="s">
        <v>18</v>
      </c>
      <c r="D281" s="14">
        <v>217.92</v>
      </c>
      <c r="E281" s="13" t="s">
        <v>149</v>
      </c>
    </row>
    <row r="282" spans="1:5" x14ac:dyDescent="0.25">
      <c r="A282" s="13">
        <v>20171114</v>
      </c>
      <c r="B282" s="13" t="str">
        <f t="shared" si="4"/>
        <v>023200</v>
      </c>
      <c r="C282" s="13" t="s">
        <v>18</v>
      </c>
      <c r="D282" s="14">
        <v>163.18</v>
      </c>
      <c r="E282" s="13" t="s">
        <v>228</v>
      </c>
    </row>
    <row r="283" spans="1:5" x14ac:dyDescent="0.25">
      <c r="A283" s="13">
        <v>20171114</v>
      </c>
      <c r="B283" s="13" t="str">
        <f t="shared" si="4"/>
        <v>023200</v>
      </c>
      <c r="C283" s="13" t="s">
        <v>18</v>
      </c>
      <c r="D283" s="14">
        <v>45.98</v>
      </c>
      <c r="E283" s="13" t="s">
        <v>149</v>
      </c>
    </row>
    <row r="284" spans="1:5" x14ac:dyDescent="0.25">
      <c r="A284" s="13">
        <v>20171114</v>
      </c>
      <c r="B284" s="13" t="str">
        <f t="shared" si="4"/>
        <v>023200</v>
      </c>
      <c r="C284" s="13" t="s">
        <v>18</v>
      </c>
      <c r="D284" s="14">
        <v>81.97</v>
      </c>
      <c r="E284" s="13" t="s">
        <v>149</v>
      </c>
    </row>
    <row r="285" spans="1:5" x14ac:dyDescent="0.25">
      <c r="A285" s="13">
        <v>20171114</v>
      </c>
      <c r="B285" s="13" t="str">
        <f t="shared" si="4"/>
        <v>023200</v>
      </c>
      <c r="C285" s="13" t="s">
        <v>18</v>
      </c>
      <c r="D285" s="14">
        <v>6.99</v>
      </c>
      <c r="E285" s="13" t="s">
        <v>149</v>
      </c>
    </row>
    <row r="286" spans="1:5" x14ac:dyDescent="0.25">
      <c r="A286" s="13">
        <v>20171114</v>
      </c>
      <c r="B286" s="13" t="str">
        <f t="shared" si="4"/>
        <v>023200</v>
      </c>
      <c r="C286" s="13" t="s">
        <v>18</v>
      </c>
      <c r="D286" s="14">
        <v>71.33</v>
      </c>
      <c r="E286" s="13" t="s">
        <v>149</v>
      </c>
    </row>
    <row r="287" spans="1:5" x14ac:dyDescent="0.25">
      <c r="A287" s="13">
        <v>20171114</v>
      </c>
      <c r="B287" s="13" t="str">
        <f t="shared" si="4"/>
        <v>023200</v>
      </c>
      <c r="C287" s="13" t="s">
        <v>18</v>
      </c>
      <c r="D287" s="14">
        <v>11.71</v>
      </c>
      <c r="E287" s="13" t="s">
        <v>149</v>
      </c>
    </row>
    <row r="288" spans="1:5" x14ac:dyDescent="0.25">
      <c r="A288" s="13">
        <v>20171114</v>
      </c>
      <c r="B288" s="13" t="str">
        <f t="shared" si="4"/>
        <v>023200</v>
      </c>
      <c r="C288" s="13" t="s">
        <v>18</v>
      </c>
      <c r="D288" s="14">
        <v>831.96</v>
      </c>
      <c r="E288" s="13" t="s">
        <v>229</v>
      </c>
    </row>
    <row r="289" spans="1:5" x14ac:dyDescent="0.25">
      <c r="A289" s="13">
        <v>20171114</v>
      </c>
      <c r="B289" s="13" t="str">
        <f>"023201"</f>
        <v>023201</v>
      </c>
      <c r="C289" s="13" t="s">
        <v>230</v>
      </c>
      <c r="D289" s="14">
        <v>23412</v>
      </c>
      <c r="E289" s="13" t="s">
        <v>231</v>
      </c>
    </row>
    <row r="290" spans="1:5" x14ac:dyDescent="0.25">
      <c r="A290" s="13">
        <v>20171114</v>
      </c>
      <c r="B290" s="13" t="str">
        <f>"023202"</f>
        <v>023202</v>
      </c>
      <c r="C290" s="13" t="s">
        <v>30</v>
      </c>
      <c r="D290" s="14">
        <v>80</v>
      </c>
      <c r="E290" s="13" t="s">
        <v>232</v>
      </c>
    </row>
    <row r="291" spans="1:5" x14ac:dyDescent="0.25">
      <c r="A291" s="13">
        <v>20171114</v>
      </c>
      <c r="B291" s="13" t="str">
        <f>"023203"</f>
        <v>023203</v>
      </c>
      <c r="C291" s="13" t="s">
        <v>189</v>
      </c>
      <c r="D291" s="14">
        <v>22.95</v>
      </c>
      <c r="E291" s="13" t="s">
        <v>190</v>
      </c>
    </row>
    <row r="292" spans="1:5" x14ac:dyDescent="0.25">
      <c r="A292" s="13">
        <v>20171114</v>
      </c>
      <c r="B292" s="13" t="str">
        <f>"023204"</f>
        <v>023204</v>
      </c>
      <c r="C292" s="13" t="s">
        <v>159</v>
      </c>
      <c r="D292" s="14">
        <v>201.3</v>
      </c>
      <c r="E292" s="13" t="s">
        <v>160</v>
      </c>
    </row>
    <row r="293" spans="1:5" x14ac:dyDescent="0.25">
      <c r="A293" s="13">
        <v>20171114</v>
      </c>
      <c r="B293" s="13" t="str">
        <f>"023205"</f>
        <v>023205</v>
      </c>
      <c r="C293" s="13" t="s">
        <v>233</v>
      </c>
      <c r="D293" s="14">
        <v>2100</v>
      </c>
      <c r="E293" s="13" t="s">
        <v>234</v>
      </c>
    </row>
    <row r="294" spans="1:5" x14ac:dyDescent="0.25">
      <c r="A294" s="13">
        <v>20171114</v>
      </c>
      <c r="B294" s="13" t="str">
        <f>"023206"</f>
        <v>023206</v>
      </c>
      <c r="C294" s="13" t="s">
        <v>235</v>
      </c>
      <c r="D294" s="14">
        <v>1160</v>
      </c>
      <c r="E294" s="13" t="s">
        <v>236</v>
      </c>
    </row>
    <row r="295" spans="1:5" x14ac:dyDescent="0.25">
      <c r="A295" s="13">
        <v>20171128</v>
      </c>
      <c r="B295" s="13" t="str">
        <f>"023207"</f>
        <v>023207</v>
      </c>
      <c r="C295" s="13" t="s">
        <v>27</v>
      </c>
      <c r="D295" s="14">
        <v>2874.47</v>
      </c>
      <c r="E295" s="13" t="s">
        <v>237</v>
      </c>
    </row>
    <row r="296" spans="1:5" x14ac:dyDescent="0.25">
      <c r="A296" s="13">
        <v>20171128</v>
      </c>
      <c r="B296" s="13" t="str">
        <f>"023208"</f>
        <v>023208</v>
      </c>
      <c r="C296" s="13" t="s">
        <v>74</v>
      </c>
      <c r="D296" s="14">
        <v>11.86</v>
      </c>
      <c r="E296" s="13" t="s">
        <v>75</v>
      </c>
    </row>
    <row r="297" spans="1:5" x14ac:dyDescent="0.25">
      <c r="A297" s="13">
        <v>20171128</v>
      </c>
      <c r="B297" s="13" t="str">
        <f>"023209"</f>
        <v>023209</v>
      </c>
      <c r="C297" s="13" t="s">
        <v>218</v>
      </c>
      <c r="D297" s="14">
        <v>81.39</v>
      </c>
      <c r="E297" s="13" t="s">
        <v>238</v>
      </c>
    </row>
    <row r="298" spans="1:5" x14ac:dyDescent="0.25">
      <c r="A298" s="13">
        <v>20171128</v>
      </c>
      <c r="B298" s="13" t="str">
        <f>"023209"</f>
        <v>023209</v>
      </c>
      <c r="C298" s="13" t="s">
        <v>218</v>
      </c>
      <c r="D298" s="14">
        <v>26.52</v>
      </c>
      <c r="E298" s="13" t="s">
        <v>239</v>
      </c>
    </row>
    <row r="299" spans="1:5" x14ac:dyDescent="0.25">
      <c r="A299" s="13">
        <v>20171128</v>
      </c>
      <c r="B299" s="13" t="str">
        <f>"023210"</f>
        <v>023210</v>
      </c>
      <c r="C299" s="13" t="s">
        <v>174</v>
      </c>
      <c r="D299" s="14">
        <v>2000</v>
      </c>
      <c r="E299" s="13" t="s">
        <v>176</v>
      </c>
    </row>
    <row r="300" spans="1:5" x14ac:dyDescent="0.25">
      <c r="A300" s="13">
        <v>20171128</v>
      </c>
      <c r="B300" s="13" t="str">
        <f>"023211"</f>
        <v>023211</v>
      </c>
      <c r="C300" s="13" t="s">
        <v>76</v>
      </c>
      <c r="D300" s="14">
        <v>202.46</v>
      </c>
      <c r="E300" s="13" t="s">
        <v>77</v>
      </c>
    </row>
    <row r="301" spans="1:5" x14ac:dyDescent="0.25">
      <c r="A301" s="13">
        <v>20171128</v>
      </c>
      <c r="B301" s="13" t="str">
        <f>"023211"</f>
        <v>023211</v>
      </c>
      <c r="C301" s="13" t="s">
        <v>76</v>
      </c>
      <c r="D301" s="14">
        <v>213.94</v>
      </c>
      <c r="E301" s="13" t="s">
        <v>77</v>
      </c>
    </row>
    <row r="302" spans="1:5" x14ac:dyDescent="0.25">
      <c r="A302" s="13">
        <v>20171128</v>
      </c>
      <c r="B302" s="13" t="str">
        <f>"023211"</f>
        <v>023211</v>
      </c>
      <c r="C302" s="13" t="s">
        <v>76</v>
      </c>
      <c r="D302" s="14">
        <v>67.489999999999995</v>
      </c>
      <c r="E302" s="13" t="s">
        <v>77</v>
      </c>
    </row>
    <row r="303" spans="1:5" x14ac:dyDescent="0.25">
      <c r="A303" s="13">
        <v>20171128</v>
      </c>
      <c r="B303" s="13" t="str">
        <f>"023211"</f>
        <v>023211</v>
      </c>
      <c r="C303" s="13" t="s">
        <v>76</v>
      </c>
      <c r="D303" s="14">
        <v>67.489999999999995</v>
      </c>
      <c r="E303" s="13" t="s">
        <v>77</v>
      </c>
    </row>
    <row r="304" spans="1:5" x14ac:dyDescent="0.25">
      <c r="A304" s="13">
        <v>20171128</v>
      </c>
      <c r="B304" s="13" t="str">
        <f>"023212"</f>
        <v>023212</v>
      </c>
      <c r="C304" s="13" t="s">
        <v>80</v>
      </c>
      <c r="D304" s="14">
        <v>121.78</v>
      </c>
      <c r="E304" s="13" t="s">
        <v>81</v>
      </c>
    </row>
    <row r="305" spans="1:5" x14ac:dyDescent="0.25">
      <c r="A305" s="13">
        <v>20171128</v>
      </c>
      <c r="B305" s="13" t="str">
        <f>"023213"</f>
        <v>023213</v>
      </c>
      <c r="C305" s="13" t="s">
        <v>240</v>
      </c>
      <c r="D305" s="14">
        <v>88.15</v>
      </c>
      <c r="E305" s="13" t="s">
        <v>241</v>
      </c>
    </row>
    <row r="306" spans="1:5" x14ac:dyDescent="0.25">
      <c r="A306" s="13">
        <v>20171128</v>
      </c>
      <c r="B306" s="13" t="str">
        <f>"023213"</f>
        <v>023213</v>
      </c>
      <c r="C306" s="13" t="s">
        <v>240</v>
      </c>
      <c r="D306" s="14">
        <v>35</v>
      </c>
      <c r="E306" s="13" t="s">
        <v>242</v>
      </c>
    </row>
    <row r="307" spans="1:5" x14ac:dyDescent="0.25">
      <c r="A307" s="13">
        <v>20171128</v>
      </c>
      <c r="B307" s="13" t="str">
        <f>"023215"</f>
        <v>023215</v>
      </c>
      <c r="C307" s="13" t="s">
        <v>2</v>
      </c>
      <c r="D307" s="14">
        <v>49.91</v>
      </c>
      <c r="E307" s="13" t="s">
        <v>243</v>
      </c>
    </row>
    <row r="308" spans="1:5" x14ac:dyDescent="0.25">
      <c r="A308" s="13">
        <v>20171128</v>
      </c>
      <c r="B308" s="13" t="str">
        <f>"023215"</f>
        <v>023215</v>
      </c>
      <c r="C308" s="13" t="s">
        <v>2</v>
      </c>
      <c r="D308" s="14">
        <v>77.78</v>
      </c>
      <c r="E308" s="13" t="s">
        <v>244</v>
      </c>
    </row>
    <row r="309" spans="1:5" x14ac:dyDescent="0.25">
      <c r="A309" s="13">
        <v>20171128</v>
      </c>
      <c r="B309" s="13" t="str">
        <f>"023215"</f>
        <v>023215</v>
      </c>
      <c r="C309" s="13" t="s">
        <v>2</v>
      </c>
      <c r="D309" s="14">
        <v>258.12</v>
      </c>
      <c r="E309" s="13" t="s">
        <v>183</v>
      </c>
    </row>
    <row r="310" spans="1:5" x14ac:dyDescent="0.25">
      <c r="A310" s="13">
        <v>20171128</v>
      </c>
      <c r="B310" s="13" t="str">
        <f>"023216"</f>
        <v>023216</v>
      </c>
      <c r="C310" s="13" t="s">
        <v>99</v>
      </c>
      <c r="D310" s="14">
        <v>7.69</v>
      </c>
      <c r="E310" s="13" t="s">
        <v>187</v>
      </c>
    </row>
    <row r="311" spans="1:5" x14ac:dyDescent="0.25">
      <c r="A311" s="13">
        <v>20171128</v>
      </c>
      <c r="B311" s="13" t="str">
        <f>"023216"</f>
        <v>023216</v>
      </c>
      <c r="C311" s="13" t="s">
        <v>99</v>
      </c>
      <c r="D311" s="14">
        <v>62.59</v>
      </c>
      <c r="E311" s="13" t="s">
        <v>187</v>
      </c>
    </row>
    <row r="312" spans="1:5" x14ac:dyDescent="0.25">
      <c r="A312" s="13">
        <v>20171128</v>
      </c>
      <c r="B312" s="13" t="str">
        <f>"023217"</f>
        <v>023217</v>
      </c>
      <c r="C312" s="13" t="s">
        <v>245</v>
      </c>
      <c r="D312" s="14">
        <v>50</v>
      </c>
      <c r="E312" s="13" t="s">
        <v>246</v>
      </c>
    </row>
    <row r="313" spans="1:5" x14ac:dyDescent="0.25">
      <c r="A313" s="13">
        <v>20171128</v>
      </c>
      <c r="B313" s="13" t="str">
        <f>"023218"</f>
        <v>023218</v>
      </c>
      <c r="C313" s="13" t="s">
        <v>18</v>
      </c>
      <c r="D313" s="14">
        <v>191.98</v>
      </c>
      <c r="E313" s="13" t="s">
        <v>229</v>
      </c>
    </row>
    <row r="314" spans="1:5" x14ac:dyDescent="0.25">
      <c r="A314" s="13">
        <v>20171128</v>
      </c>
      <c r="B314" s="13" t="str">
        <f>"023218"</f>
        <v>023218</v>
      </c>
      <c r="C314" s="13" t="s">
        <v>18</v>
      </c>
      <c r="D314" s="14">
        <v>95.87</v>
      </c>
      <c r="E314" s="13" t="s">
        <v>247</v>
      </c>
    </row>
    <row r="315" spans="1:5" x14ac:dyDescent="0.25">
      <c r="A315" s="13">
        <v>20171128</v>
      </c>
      <c r="B315" s="13" t="str">
        <f>"023218"</f>
        <v>023218</v>
      </c>
      <c r="C315" s="13" t="s">
        <v>18</v>
      </c>
      <c r="D315" s="14">
        <v>54.18</v>
      </c>
      <c r="E315" s="13" t="s">
        <v>247</v>
      </c>
    </row>
    <row r="316" spans="1:5" x14ac:dyDescent="0.25">
      <c r="A316" s="13">
        <v>20171128</v>
      </c>
      <c r="B316" s="13" t="str">
        <f>"023218"</f>
        <v>023218</v>
      </c>
      <c r="C316" s="13" t="s">
        <v>18</v>
      </c>
      <c r="D316" s="14">
        <v>123.97</v>
      </c>
      <c r="E316" s="13" t="s">
        <v>247</v>
      </c>
    </row>
    <row r="317" spans="1:5" x14ac:dyDescent="0.25">
      <c r="A317" s="13">
        <v>20171128</v>
      </c>
      <c r="B317" s="13" t="str">
        <f>"023219"</f>
        <v>023219</v>
      </c>
      <c r="C317" s="13" t="s">
        <v>248</v>
      </c>
      <c r="D317" s="14">
        <v>571.97</v>
      </c>
      <c r="E317" s="13" t="s">
        <v>249</v>
      </c>
    </row>
    <row r="318" spans="1:5" x14ac:dyDescent="0.25">
      <c r="A318" s="13">
        <v>20171128</v>
      </c>
      <c r="B318" s="13" t="str">
        <f>"023220"</f>
        <v>023220</v>
      </c>
      <c r="C318" s="13" t="s">
        <v>250</v>
      </c>
      <c r="D318" s="14">
        <v>954</v>
      </c>
      <c r="E318" s="13" t="s">
        <v>251</v>
      </c>
    </row>
    <row r="319" spans="1:5" x14ac:dyDescent="0.25">
      <c r="A319" s="13">
        <v>20171128</v>
      </c>
      <c r="B319" s="13" t="str">
        <f>"023221"</f>
        <v>023221</v>
      </c>
      <c r="C319" s="13" t="s">
        <v>252</v>
      </c>
      <c r="D319" s="14">
        <v>500</v>
      </c>
      <c r="E319" s="13" t="s">
        <v>253</v>
      </c>
    </row>
    <row r="320" spans="1:5" x14ac:dyDescent="0.25">
      <c r="A320" s="13">
        <v>20171128</v>
      </c>
      <c r="B320" s="13" t="str">
        <f>"023222"</f>
        <v>023222</v>
      </c>
      <c r="C320" s="13" t="s">
        <v>254</v>
      </c>
      <c r="D320" s="14">
        <v>250</v>
      </c>
      <c r="E320" s="13" t="s">
        <v>255</v>
      </c>
    </row>
    <row r="321" spans="1:5" x14ac:dyDescent="0.25">
      <c r="A321" s="13">
        <v>20171128</v>
      </c>
      <c r="B321" s="13" t="str">
        <f>"023223"</f>
        <v>023223</v>
      </c>
      <c r="C321" s="13" t="s">
        <v>256</v>
      </c>
      <c r="D321" s="14">
        <v>84</v>
      </c>
      <c r="E321" s="13" t="s">
        <v>257</v>
      </c>
    </row>
    <row r="322" spans="1:5" x14ac:dyDescent="0.25">
      <c r="A322" s="13">
        <v>20171128</v>
      </c>
      <c r="B322" s="13" t="str">
        <f>"023224"</f>
        <v>023224</v>
      </c>
      <c r="C322" s="13" t="s">
        <v>258</v>
      </c>
      <c r="D322" s="14">
        <v>71.06</v>
      </c>
      <c r="E322" s="13" t="s">
        <v>242</v>
      </c>
    </row>
    <row r="323" spans="1:5" x14ac:dyDescent="0.25">
      <c r="A323" s="13">
        <v>20171128</v>
      </c>
      <c r="B323" s="13" t="str">
        <f>"023225"</f>
        <v>023225</v>
      </c>
      <c r="C323" s="13" t="s">
        <v>197</v>
      </c>
      <c r="D323" s="14">
        <v>177</v>
      </c>
      <c r="E323" s="13" t="s">
        <v>198</v>
      </c>
    </row>
    <row r="324" spans="1:5" x14ac:dyDescent="0.25">
      <c r="A324" s="13">
        <v>20171128</v>
      </c>
      <c r="B324" s="13" t="str">
        <f>"023225"</f>
        <v>023225</v>
      </c>
      <c r="C324" s="13" t="s">
        <v>197</v>
      </c>
      <c r="D324" s="14">
        <v>1000</v>
      </c>
      <c r="E324" s="13" t="s">
        <v>198</v>
      </c>
    </row>
    <row r="325" spans="1:5" x14ac:dyDescent="0.25">
      <c r="A325" s="13">
        <v>20171128</v>
      </c>
      <c r="B325" s="13" t="str">
        <f>"023226"</f>
        <v>023226</v>
      </c>
      <c r="C325" s="13" t="s">
        <v>235</v>
      </c>
      <c r="D325" s="14">
        <v>1513.75</v>
      </c>
      <c r="E325" s="13" t="s">
        <v>259</v>
      </c>
    </row>
    <row r="326" spans="1:5" x14ac:dyDescent="0.25">
      <c r="A326" s="13">
        <v>20171128</v>
      </c>
      <c r="B326" s="13" t="str">
        <f>"023226"</f>
        <v>023226</v>
      </c>
      <c r="C326" s="13" t="s">
        <v>235</v>
      </c>
      <c r="D326" s="14">
        <v>350.35</v>
      </c>
      <c r="E326" s="13" t="s">
        <v>259</v>
      </c>
    </row>
    <row r="327" spans="1:5" x14ac:dyDescent="0.25">
      <c r="C327" s="11" t="s">
        <v>782</v>
      </c>
      <c r="D327" s="12">
        <f>SUM(D255:D326)</f>
        <v>61298.78</v>
      </c>
    </row>
    <row r="328" spans="1:5" x14ac:dyDescent="0.25">
      <c r="A328" s="13">
        <v>20171206</v>
      </c>
      <c r="B328" s="13" t="str">
        <f>"023227"</f>
        <v>023227</v>
      </c>
      <c r="C328" s="13" t="s">
        <v>142</v>
      </c>
      <c r="D328" s="14">
        <v>32</v>
      </c>
      <c r="E328" s="13" t="s">
        <v>260</v>
      </c>
    </row>
    <row r="329" spans="1:5" x14ac:dyDescent="0.25">
      <c r="A329" s="13">
        <v>20171206</v>
      </c>
      <c r="B329" s="13" t="str">
        <f>"023228"</f>
        <v>023228</v>
      </c>
      <c r="C329" s="13" t="s">
        <v>46</v>
      </c>
      <c r="D329" s="14">
        <v>12.5</v>
      </c>
      <c r="E329" s="13" t="s">
        <v>47</v>
      </c>
    </row>
    <row r="330" spans="1:5" x14ac:dyDescent="0.25">
      <c r="A330" s="13">
        <v>20171206</v>
      </c>
      <c r="B330" s="13" t="str">
        <f>"023229"</f>
        <v>023229</v>
      </c>
      <c r="C330" s="13" t="s">
        <v>261</v>
      </c>
      <c r="D330" s="14">
        <v>1374</v>
      </c>
      <c r="E330" s="13" t="s">
        <v>262</v>
      </c>
    </row>
    <row r="331" spans="1:5" x14ac:dyDescent="0.25">
      <c r="A331" s="13">
        <v>20171206</v>
      </c>
      <c r="B331" s="13" t="str">
        <f>"023230"</f>
        <v>023230</v>
      </c>
      <c r="C331" s="13" t="s">
        <v>13</v>
      </c>
      <c r="D331" s="14">
        <v>1093.8699999999999</v>
      </c>
      <c r="E331" s="13" t="s">
        <v>263</v>
      </c>
    </row>
    <row r="332" spans="1:5" x14ac:dyDescent="0.25">
      <c r="A332" s="13">
        <v>20171206</v>
      </c>
      <c r="B332" s="13" t="str">
        <f>"023231"</f>
        <v>023231</v>
      </c>
      <c r="C332" s="13" t="s">
        <v>264</v>
      </c>
      <c r="D332" s="14">
        <v>1594</v>
      </c>
      <c r="E332" s="13" t="s">
        <v>265</v>
      </c>
    </row>
    <row r="333" spans="1:5" x14ac:dyDescent="0.25">
      <c r="A333" s="13">
        <v>20171206</v>
      </c>
      <c r="B333" s="13" t="str">
        <f>"023232"</f>
        <v>023232</v>
      </c>
      <c r="C333" s="13" t="s">
        <v>266</v>
      </c>
      <c r="D333" s="14">
        <v>70</v>
      </c>
      <c r="E333" s="13" t="s">
        <v>267</v>
      </c>
    </row>
    <row r="334" spans="1:5" x14ac:dyDescent="0.25">
      <c r="A334" s="13">
        <v>20171206</v>
      </c>
      <c r="B334" s="13" t="str">
        <f>"023233"</f>
        <v>023233</v>
      </c>
      <c r="C334" s="13" t="s">
        <v>56</v>
      </c>
      <c r="D334" s="14">
        <v>270.48</v>
      </c>
      <c r="E334" s="13" t="s">
        <v>57</v>
      </c>
    </row>
    <row r="335" spans="1:5" x14ac:dyDescent="0.25">
      <c r="A335" s="13">
        <v>20171206</v>
      </c>
      <c r="B335" s="13" t="str">
        <f>"023234"</f>
        <v>023234</v>
      </c>
      <c r="C335" s="13" t="s">
        <v>86</v>
      </c>
      <c r="D335" s="14">
        <v>925.5</v>
      </c>
      <c r="E335" s="13" t="s">
        <v>268</v>
      </c>
    </row>
    <row r="336" spans="1:5" x14ac:dyDescent="0.25">
      <c r="A336" s="13">
        <v>20171206</v>
      </c>
      <c r="B336" s="13" t="str">
        <f>"023235"</f>
        <v>023235</v>
      </c>
      <c r="C336" s="13" t="s">
        <v>2</v>
      </c>
      <c r="D336" s="14">
        <v>258.10000000000002</v>
      </c>
      <c r="E336" s="13" t="s">
        <v>269</v>
      </c>
    </row>
    <row r="337" spans="1:5" x14ac:dyDescent="0.25">
      <c r="A337" s="13">
        <v>20171206</v>
      </c>
      <c r="B337" s="13" t="str">
        <f>"023235"</f>
        <v>023235</v>
      </c>
      <c r="C337" s="13" t="s">
        <v>2</v>
      </c>
      <c r="D337" s="14">
        <v>183.07</v>
      </c>
      <c r="E337" s="13" t="s">
        <v>270</v>
      </c>
    </row>
    <row r="338" spans="1:5" x14ac:dyDescent="0.25">
      <c r="A338" s="13">
        <v>20171206</v>
      </c>
      <c r="B338" s="13" t="str">
        <f>"023236"</f>
        <v>023236</v>
      </c>
      <c r="C338" s="13" t="s">
        <v>271</v>
      </c>
      <c r="D338" s="14">
        <v>70</v>
      </c>
      <c r="E338" s="13" t="s">
        <v>272</v>
      </c>
    </row>
    <row r="339" spans="1:5" x14ac:dyDescent="0.25">
      <c r="A339" s="13">
        <v>20171206</v>
      </c>
      <c r="B339" s="13" t="str">
        <f>"023238"</f>
        <v>023238</v>
      </c>
      <c r="C339" s="13" t="s">
        <v>110</v>
      </c>
      <c r="D339" s="14">
        <v>1695.34</v>
      </c>
      <c r="E339" s="13" t="s">
        <v>273</v>
      </c>
    </row>
    <row r="340" spans="1:5" x14ac:dyDescent="0.25">
      <c r="A340" s="13">
        <v>20171206</v>
      </c>
      <c r="B340" s="13" t="str">
        <f>"023239"</f>
        <v>023239</v>
      </c>
      <c r="C340" s="13" t="s">
        <v>274</v>
      </c>
      <c r="D340" s="14">
        <v>255</v>
      </c>
      <c r="E340" s="13" t="s">
        <v>275</v>
      </c>
    </row>
    <row r="341" spans="1:5" x14ac:dyDescent="0.25">
      <c r="A341" s="13">
        <v>20171206</v>
      </c>
      <c r="B341" s="13" t="str">
        <f>"023240"</f>
        <v>023240</v>
      </c>
      <c r="C341" s="13" t="s">
        <v>276</v>
      </c>
      <c r="D341" s="14">
        <v>80</v>
      </c>
      <c r="E341" s="13" t="s">
        <v>277</v>
      </c>
    </row>
    <row r="342" spans="1:5" x14ac:dyDescent="0.25">
      <c r="A342" s="13">
        <v>20171206</v>
      </c>
      <c r="B342" s="13" t="str">
        <f>"023241"</f>
        <v>023241</v>
      </c>
      <c r="C342" s="13" t="s">
        <v>70</v>
      </c>
      <c r="D342" s="14">
        <v>125</v>
      </c>
      <c r="E342" s="13" t="s">
        <v>278</v>
      </c>
    </row>
    <row r="343" spans="1:5" x14ac:dyDescent="0.25">
      <c r="A343" s="13">
        <v>20171206</v>
      </c>
      <c r="B343" s="13" t="str">
        <f>"023242"</f>
        <v>023242</v>
      </c>
      <c r="C343" s="13" t="s">
        <v>140</v>
      </c>
      <c r="D343" s="14">
        <v>31.36</v>
      </c>
      <c r="E343" s="13" t="s">
        <v>141</v>
      </c>
    </row>
    <row r="344" spans="1:5" x14ac:dyDescent="0.25">
      <c r="A344" s="13">
        <v>20171206</v>
      </c>
      <c r="B344" s="13" t="str">
        <f>"023242"</f>
        <v>023242</v>
      </c>
      <c r="C344" s="13" t="s">
        <v>140</v>
      </c>
      <c r="D344" s="14">
        <v>18.62</v>
      </c>
      <c r="E344" s="13" t="s">
        <v>141</v>
      </c>
    </row>
    <row r="345" spans="1:5" x14ac:dyDescent="0.25">
      <c r="A345" s="13">
        <v>20171206</v>
      </c>
      <c r="B345" s="13" t="str">
        <f>"023242"</f>
        <v>023242</v>
      </c>
      <c r="C345" s="13" t="s">
        <v>140</v>
      </c>
      <c r="D345" s="14">
        <v>48.02</v>
      </c>
      <c r="E345" s="13" t="s">
        <v>141</v>
      </c>
    </row>
    <row r="346" spans="1:5" x14ac:dyDescent="0.25">
      <c r="A346" s="13">
        <v>20171206</v>
      </c>
      <c r="B346" s="13" t="str">
        <f>"023243"</f>
        <v>023243</v>
      </c>
      <c r="C346" s="13" t="s">
        <v>279</v>
      </c>
      <c r="D346" s="14">
        <v>305</v>
      </c>
      <c r="E346" s="13" t="s">
        <v>280</v>
      </c>
    </row>
    <row r="347" spans="1:5" x14ac:dyDescent="0.25">
      <c r="A347" s="13">
        <v>20171207</v>
      </c>
      <c r="B347" s="13" t="str">
        <f>"023244"</f>
        <v>023244</v>
      </c>
      <c r="C347" s="13" t="s">
        <v>281</v>
      </c>
      <c r="D347" s="14">
        <v>96</v>
      </c>
      <c r="E347" s="13" t="s">
        <v>282</v>
      </c>
    </row>
    <row r="348" spans="1:5" x14ac:dyDescent="0.25">
      <c r="A348" s="13">
        <v>20171207</v>
      </c>
      <c r="B348" s="13" t="str">
        <f>"023245"</f>
        <v>023245</v>
      </c>
      <c r="C348" s="13" t="s">
        <v>144</v>
      </c>
      <c r="D348" s="14">
        <v>251</v>
      </c>
      <c r="E348" s="13" t="s">
        <v>283</v>
      </c>
    </row>
    <row r="349" spans="1:5" x14ac:dyDescent="0.25">
      <c r="A349" s="13">
        <v>20171207</v>
      </c>
      <c r="B349" s="13" t="str">
        <f>"023245"</f>
        <v>023245</v>
      </c>
      <c r="C349" s="13" t="s">
        <v>144</v>
      </c>
      <c r="D349" s="14">
        <v>290</v>
      </c>
      <c r="E349" s="13" t="s">
        <v>284</v>
      </c>
    </row>
    <row r="350" spans="1:5" x14ac:dyDescent="0.25">
      <c r="A350" s="13">
        <v>20171207</v>
      </c>
      <c r="B350" s="13" t="str">
        <f>"023246"</f>
        <v>023246</v>
      </c>
      <c r="C350" s="13" t="s">
        <v>123</v>
      </c>
      <c r="D350" s="14">
        <v>67.430000000000007</v>
      </c>
      <c r="E350" s="13" t="s">
        <v>124</v>
      </c>
    </row>
    <row r="351" spans="1:5" x14ac:dyDescent="0.25">
      <c r="A351" s="13">
        <v>20171207</v>
      </c>
      <c r="B351" s="13" t="str">
        <f>"023246"</f>
        <v>023246</v>
      </c>
      <c r="C351" s="13" t="s">
        <v>123</v>
      </c>
      <c r="D351" s="14">
        <v>226.1</v>
      </c>
      <c r="E351" s="13" t="s">
        <v>124</v>
      </c>
    </row>
    <row r="352" spans="1:5" x14ac:dyDescent="0.25">
      <c r="A352" s="13">
        <v>20171207</v>
      </c>
      <c r="B352" s="13" t="str">
        <f>"023246"</f>
        <v>023246</v>
      </c>
      <c r="C352" s="13" t="s">
        <v>123</v>
      </c>
      <c r="D352" s="14">
        <v>28.86</v>
      </c>
      <c r="E352" s="13" t="s">
        <v>124</v>
      </c>
    </row>
    <row r="353" spans="1:5" x14ac:dyDescent="0.25">
      <c r="A353" s="13">
        <v>20171207</v>
      </c>
      <c r="B353" s="13" t="str">
        <f>"023246"</f>
        <v>023246</v>
      </c>
      <c r="C353" s="13" t="s">
        <v>123</v>
      </c>
      <c r="D353" s="14">
        <v>53.69</v>
      </c>
      <c r="E353" s="13" t="s">
        <v>124</v>
      </c>
    </row>
    <row r="354" spans="1:5" x14ac:dyDescent="0.25">
      <c r="A354" s="13">
        <v>20171207</v>
      </c>
      <c r="B354" s="13" t="str">
        <f>"023246"</f>
        <v>023246</v>
      </c>
      <c r="C354" s="13" t="s">
        <v>123</v>
      </c>
      <c r="D354" s="14">
        <v>19.93</v>
      </c>
      <c r="E354" s="13" t="s">
        <v>124</v>
      </c>
    </row>
    <row r="355" spans="1:5" x14ac:dyDescent="0.25">
      <c r="A355" s="13">
        <v>20171207</v>
      </c>
      <c r="B355" s="13" t="str">
        <f>"023247"</f>
        <v>023247</v>
      </c>
      <c r="C355" s="13" t="s">
        <v>4</v>
      </c>
      <c r="D355" s="14">
        <v>47.87</v>
      </c>
      <c r="E355" s="13" t="s">
        <v>285</v>
      </c>
    </row>
    <row r="356" spans="1:5" x14ac:dyDescent="0.25">
      <c r="A356" s="13">
        <v>20171207</v>
      </c>
      <c r="B356" s="13" t="str">
        <f>"023247"</f>
        <v>023247</v>
      </c>
      <c r="C356" s="13" t="s">
        <v>4</v>
      </c>
      <c r="D356" s="14">
        <v>42.98</v>
      </c>
      <c r="E356" s="13" t="s">
        <v>286</v>
      </c>
    </row>
    <row r="357" spans="1:5" x14ac:dyDescent="0.25">
      <c r="A357" s="13">
        <v>20171207</v>
      </c>
      <c r="B357" s="13" t="str">
        <f>"023247"</f>
        <v>023247</v>
      </c>
      <c r="C357" s="13" t="s">
        <v>4</v>
      </c>
      <c r="D357" s="14">
        <v>51.19</v>
      </c>
      <c r="E357" s="13" t="s">
        <v>287</v>
      </c>
    </row>
    <row r="358" spans="1:5" x14ac:dyDescent="0.25">
      <c r="A358" s="13">
        <v>20171207</v>
      </c>
      <c r="B358" s="13" t="str">
        <f>"023248"</f>
        <v>023248</v>
      </c>
      <c r="C358" s="13" t="s">
        <v>224</v>
      </c>
      <c r="D358" s="14">
        <v>17</v>
      </c>
      <c r="E358" s="13" t="s">
        <v>288</v>
      </c>
    </row>
    <row r="359" spans="1:5" x14ac:dyDescent="0.25">
      <c r="A359" s="13">
        <v>20171207</v>
      </c>
      <c r="B359" s="13" t="str">
        <f>"023248"</f>
        <v>023248</v>
      </c>
      <c r="C359" s="13" t="s">
        <v>224</v>
      </c>
      <c r="D359" s="14">
        <v>79</v>
      </c>
      <c r="E359" s="13" t="s">
        <v>288</v>
      </c>
    </row>
    <row r="360" spans="1:5" x14ac:dyDescent="0.25">
      <c r="A360" s="13">
        <v>20171207</v>
      </c>
      <c r="B360" s="13" t="str">
        <f>"023249"</f>
        <v>023249</v>
      </c>
      <c r="C360" s="13" t="s">
        <v>68</v>
      </c>
      <c r="D360" s="14">
        <v>221.36</v>
      </c>
      <c r="E360" s="13" t="s">
        <v>289</v>
      </c>
    </row>
    <row r="361" spans="1:5" x14ac:dyDescent="0.25">
      <c r="A361" s="13">
        <v>20171207</v>
      </c>
      <c r="B361" s="13" t="str">
        <f>"023249"</f>
        <v>023249</v>
      </c>
      <c r="C361" s="13" t="s">
        <v>68</v>
      </c>
      <c r="D361" s="14">
        <v>441.43</v>
      </c>
      <c r="E361" s="13" t="s">
        <v>289</v>
      </c>
    </row>
    <row r="362" spans="1:5" x14ac:dyDescent="0.25">
      <c r="A362" s="13">
        <v>20171207</v>
      </c>
      <c r="B362" s="13" t="str">
        <f>"023250"</f>
        <v>023250</v>
      </c>
      <c r="C362" s="13" t="s">
        <v>235</v>
      </c>
      <c r="D362" s="14">
        <v>1125</v>
      </c>
      <c r="E362" s="13" t="s">
        <v>236</v>
      </c>
    </row>
    <row r="363" spans="1:5" x14ac:dyDescent="0.25">
      <c r="A363" s="13">
        <v>20171207</v>
      </c>
      <c r="B363" s="13" t="str">
        <f>"023250"</f>
        <v>023250</v>
      </c>
      <c r="C363" s="13" t="s">
        <v>235</v>
      </c>
      <c r="D363" s="14">
        <v>17.149999999999999</v>
      </c>
      <c r="E363" s="13" t="s">
        <v>290</v>
      </c>
    </row>
    <row r="364" spans="1:5" x14ac:dyDescent="0.25">
      <c r="A364" s="13">
        <v>20171219</v>
      </c>
      <c r="B364" s="13" t="str">
        <f>"023251"</f>
        <v>023251</v>
      </c>
      <c r="C364" s="13" t="s">
        <v>291</v>
      </c>
      <c r="D364" s="14">
        <v>598.88</v>
      </c>
      <c r="E364" s="13" t="s">
        <v>292</v>
      </c>
    </row>
    <row r="365" spans="1:5" x14ac:dyDescent="0.25">
      <c r="A365" s="13">
        <v>20171219</v>
      </c>
      <c r="B365" s="13" t="str">
        <f>"023251"</f>
        <v>023251</v>
      </c>
      <c r="C365" s="13" t="s">
        <v>291</v>
      </c>
      <c r="D365" s="14">
        <v>1014.97</v>
      </c>
      <c r="E365" s="13" t="s">
        <v>293</v>
      </c>
    </row>
    <row r="366" spans="1:5" x14ac:dyDescent="0.25">
      <c r="A366" s="13">
        <v>20171219</v>
      </c>
      <c r="B366" s="13" t="str">
        <f>"023252"</f>
        <v>023252</v>
      </c>
      <c r="C366" s="13" t="s">
        <v>157</v>
      </c>
      <c r="D366" s="14">
        <v>111.11</v>
      </c>
      <c r="E366" s="13" t="s">
        <v>158</v>
      </c>
    </row>
    <row r="367" spans="1:5" x14ac:dyDescent="0.25">
      <c r="A367" s="13">
        <v>20171219</v>
      </c>
      <c r="B367" s="13" t="str">
        <f>"023253"</f>
        <v>023253</v>
      </c>
      <c r="C367" s="13" t="s">
        <v>144</v>
      </c>
      <c r="D367" s="14">
        <v>687</v>
      </c>
      <c r="E367" s="13" t="s">
        <v>294</v>
      </c>
    </row>
    <row r="368" spans="1:5" x14ac:dyDescent="0.25">
      <c r="A368" s="13">
        <v>20171219</v>
      </c>
      <c r="B368" s="13" t="str">
        <f>"023253"</f>
        <v>023253</v>
      </c>
      <c r="C368" s="13" t="s">
        <v>144</v>
      </c>
      <c r="D368" s="14">
        <v>107</v>
      </c>
      <c r="E368" s="13" t="s">
        <v>295</v>
      </c>
    </row>
    <row r="369" spans="1:5" x14ac:dyDescent="0.25">
      <c r="A369" s="13">
        <v>20171219</v>
      </c>
      <c r="B369" s="13" t="str">
        <f>"023253"</f>
        <v>023253</v>
      </c>
      <c r="C369" s="13" t="s">
        <v>144</v>
      </c>
      <c r="D369" s="14">
        <v>30</v>
      </c>
      <c r="E369" s="13" t="s">
        <v>284</v>
      </c>
    </row>
    <row r="370" spans="1:5" x14ac:dyDescent="0.25">
      <c r="A370" s="13">
        <v>20171219</v>
      </c>
      <c r="B370" s="13" t="str">
        <f>"023254"</f>
        <v>023254</v>
      </c>
      <c r="C370" s="13" t="s">
        <v>296</v>
      </c>
      <c r="D370" s="14">
        <v>90</v>
      </c>
      <c r="E370" s="13" t="s">
        <v>297</v>
      </c>
    </row>
    <row r="371" spans="1:5" x14ac:dyDescent="0.25">
      <c r="A371" s="13">
        <v>20171219</v>
      </c>
      <c r="B371" s="13" t="str">
        <f>"023255"</f>
        <v>023255</v>
      </c>
      <c r="C371" s="13" t="s">
        <v>298</v>
      </c>
      <c r="D371" s="14">
        <v>1444.48</v>
      </c>
      <c r="E371" s="13" t="s">
        <v>299</v>
      </c>
    </row>
    <row r="372" spans="1:5" x14ac:dyDescent="0.25">
      <c r="A372" s="13">
        <v>20171219</v>
      </c>
      <c r="B372" s="13" t="str">
        <f>"023255"</f>
        <v>023255</v>
      </c>
      <c r="C372" s="13" t="s">
        <v>298</v>
      </c>
      <c r="D372" s="14">
        <v>59.56</v>
      </c>
      <c r="E372" s="13" t="s">
        <v>299</v>
      </c>
    </row>
    <row r="373" spans="1:5" x14ac:dyDescent="0.25">
      <c r="A373" s="13">
        <v>20171219</v>
      </c>
      <c r="B373" s="13" t="str">
        <f>"023256"</f>
        <v>023256</v>
      </c>
      <c r="C373" s="13" t="s">
        <v>218</v>
      </c>
      <c r="D373" s="14">
        <v>55.96</v>
      </c>
      <c r="E373" s="13" t="s">
        <v>300</v>
      </c>
    </row>
    <row r="374" spans="1:5" x14ac:dyDescent="0.25">
      <c r="A374" s="13">
        <v>20171219</v>
      </c>
      <c r="B374" s="13" t="str">
        <f>"023256"</f>
        <v>023256</v>
      </c>
      <c r="C374" s="13" t="s">
        <v>218</v>
      </c>
      <c r="D374" s="14">
        <v>1448.09</v>
      </c>
      <c r="E374" s="13" t="s">
        <v>301</v>
      </c>
    </row>
    <row r="375" spans="1:5" x14ac:dyDescent="0.25">
      <c r="A375" s="13">
        <v>20171219</v>
      </c>
      <c r="B375" s="13" t="str">
        <f>"023257"</f>
        <v>023257</v>
      </c>
      <c r="C375" s="13" t="s">
        <v>162</v>
      </c>
      <c r="D375" s="14">
        <v>4200.53</v>
      </c>
      <c r="E375" s="13" t="s">
        <v>163</v>
      </c>
    </row>
    <row r="376" spans="1:5" x14ac:dyDescent="0.25">
      <c r="A376" s="13">
        <v>20171219</v>
      </c>
      <c r="B376" s="13" t="str">
        <f>"023258"</f>
        <v>023258</v>
      </c>
      <c r="C376" s="13" t="s">
        <v>174</v>
      </c>
      <c r="D376" s="14">
        <v>1150</v>
      </c>
      <c r="E376" s="13" t="s">
        <v>176</v>
      </c>
    </row>
    <row r="377" spans="1:5" x14ac:dyDescent="0.25">
      <c r="A377" s="13">
        <v>20171219</v>
      </c>
      <c r="B377" s="13" t="str">
        <f>"023259"</f>
        <v>023259</v>
      </c>
      <c r="C377" s="13" t="s">
        <v>76</v>
      </c>
      <c r="D377" s="14">
        <v>202.46</v>
      </c>
      <c r="E377" s="13" t="s">
        <v>77</v>
      </c>
    </row>
    <row r="378" spans="1:5" x14ac:dyDescent="0.25">
      <c r="A378" s="13">
        <v>20171219</v>
      </c>
      <c r="B378" s="13" t="str">
        <f>"023259"</f>
        <v>023259</v>
      </c>
      <c r="C378" s="13" t="s">
        <v>76</v>
      </c>
      <c r="D378" s="14">
        <v>213.94</v>
      </c>
      <c r="E378" s="13" t="s">
        <v>77</v>
      </c>
    </row>
    <row r="379" spans="1:5" x14ac:dyDescent="0.25">
      <c r="A379" s="13">
        <v>20171219</v>
      </c>
      <c r="B379" s="13" t="str">
        <f>"023259"</f>
        <v>023259</v>
      </c>
      <c r="C379" s="13" t="s">
        <v>76</v>
      </c>
      <c r="D379" s="14">
        <v>67.489999999999995</v>
      </c>
      <c r="E379" s="13" t="s">
        <v>77</v>
      </c>
    </row>
    <row r="380" spans="1:5" x14ac:dyDescent="0.25">
      <c r="A380" s="13">
        <v>20171219</v>
      </c>
      <c r="B380" s="13" t="str">
        <f>"023259"</f>
        <v>023259</v>
      </c>
      <c r="C380" s="13" t="s">
        <v>76</v>
      </c>
      <c r="D380" s="14">
        <v>67.489999999999995</v>
      </c>
      <c r="E380" s="13" t="s">
        <v>77</v>
      </c>
    </row>
    <row r="381" spans="1:5" x14ac:dyDescent="0.25">
      <c r="A381" s="13">
        <v>20171219</v>
      </c>
      <c r="B381" s="13" t="str">
        <f>"023260"</f>
        <v>023260</v>
      </c>
      <c r="C381" s="13" t="s">
        <v>80</v>
      </c>
      <c r="D381" s="14">
        <v>121.78</v>
      </c>
      <c r="E381" s="13" t="s">
        <v>81</v>
      </c>
    </row>
    <row r="382" spans="1:5" x14ac:dyDescent="0.25">
      <c r="A382" s="13">
        <v>20171219</v>
      </c>
      <c r="B382" s="13" t="str">
        <f>"023261"</f>
        <v>023261</v>
      </c>
      <c r="C382" s="13" t="s">
        <v>302</v>
      </c>
      <c r="D382" s="14">
        <v>35</v>
      </c>
      <c r="E382" s="13" t="s">
        <v>303</v>
      </c>
    </row>
    <row r="383" spans="1:5" x14ac:dyDescent="0.25">
      <c r="A383" s="13">
        <v>20171219</v>
      </c>
      <c r="B383" s="13" t="str">
        <f>"023262"</f>
        <v>023262</v>
      </c>
      <c r="C383" s="13" t="s">
        <v>304</v>
      </c>
      <c r="D383" s="14">
        <v>299.32</v>
      </c>
      <c r="E383" s="13" t="s">
        <v>305</v>
      </c>
    </row>
    <row r="384" spans="1:5" x14ac:dyDescent="0.25">
      <c r="A384" s="13">
        <v>20171219</v>
      </c>
      <c r="B384" s="13" t="str">
        <f>"023263"</f>
        <v>023263</v>
      </c>
      <c r="C384" s="13" t="s">
        <v>129</v>
      </c>
      <c r="D384" s="14">
        <v>75</v>
      </c>
      <c r="E384" s="13" t="s">
        <v>306</v>
      </c>
    </row>
    <row r="385" spans="1:5" x14ac:dyDescent="0.25">
      <c r="A385" s="13">
        <v>20171219</v>
      </c>
      <c r="B385" s="13" t="str">
        <f>"023264"</f>
        <v>023264</v>
      </c>
      <c r="C385" s="13" t="s">
        <v>307</v>
      </c>
      <c r="D385" s="14">
        <v>60.34</v>
      </c>
      <c r="E385" s="13" t="s">
        <v>308</v>
      </c>
    </row>
    <row r="386" spans="1:5" x14ac:dyDescent="0.25">
      <c r="A386" s="13">
        <v>20171219</v>
      </c>
      <c r="B386" s="13" t="str">
        <f>"023265"</f>
        <v>023265</v>
      </c>
      <c r="C386" s="13" t="s">
        <v>309</v>
      </c>
      <c r="D386" s="14">
        <v>56.25</v>
      </c>
      <c r="E386" s="13" t="s">
        <v>308</v>
      </c>
    </row>
    <row r="387" spans="1:5" x14ac:dyDescent="0.25">
      <c r="A387" s="13">
        <v>20171219</v>
      </c>
      <c r="B387" s="13" t="str">
        <f>"023267"</f>
        <v>023267</v>
      </c>
      <c r="C387" s="13" t="s">
        <v>84</v>
      </c>
      <c r="D387" s="14">
        <v>539.70000000000005</v>
      </c>
      <c r="E387" s="13" t="s">
        <v>85</v>
      </c>
    </row>
    <row r="388" spans="1:5" x14ac:dyDescent="0.25">
      <c r="A388" s="13">
        <v>20171219</v>
      </c>
      <c r="B388" s="13" t="str">
        <f>"023267"</f>
        <v>023267</v>
      </c>
      <c r="C388" s="13" t="s">
        <v>84</v>
      </c>
      <c r="D388" s="14">
        <v>745.3</v>
      </c>
      <c r="E388" s="13" t="s">
        <v>85</v>
      </c>
    </row>
    <row r="389" spans="1:5" x14ac:dyDescent="0.25">
      <c r="A389" s="13">
        <v>20171219</v>
      </c>
      <c r="B389" s="13" t="str">
        <f>"023268"</f>
        <v>023268</v>
      </c>
      <c r="C389" s="13" t="s">
        <v>133</v>
      </c>
      <c r="D389" s="14">
        <v>312.2</v>
      </c>
      <c r="E389" s="13" t="s">
        <v>134</v>
      </c>
    </row>
    <row r="390" spans="1:5" x14ac:dyDescent="0.25">
      <c r="A390" s="13">
        <v>20171219</v>
      </c>
      <c r="B390" s="13" t="str">
        <f t="shared" ref="B390:B397" si="5">"023269"</f>
        <v>023269</v>
      </c>
      <c r="C390" s="13" t="s">
        <v>2</v>
      </c>
      <c r="D390" s="14">
        <v>30</v>
      </c>
      <c r="E390" s="13" t="s">
        <v>310</v>
      </c>
    </row>
    <row r="391" spans="1:5" x14ac:dyDescent="0.25">
      <c r="A391" s="13">
        <v>20171219</v>
      </c>
      <c r="B391" s="13" t="str">
        <f t="shared" si="5"/>
        <v>023269</v>
      </c>
      <c r="C391" s="13" t="s">
        <v>2</v>
      </c>
      <c r="D391" s="14">
        <v>96</v>
      </c>
      <c r="E391" s="13" t="s">
        <v>311</v>
      </c>
    </row>
    <row r="392" spans="1:5" x14ac:dyDescent="0.25">
      <c r="A392" s="13">
        <v>20171219</v>
      </c>
      <c r="B392" s="13" t="str">
        <f t="shared" si="5"/>
        <v>023269</v>
      </c>
      <c r="C392" s="13" t="s">
        <v>2</v>
      </c>
      <c r="D392" s="14">
        <v>77.56</v>
      </c>
      <c r="E392" s="13" t="s">
        <v>312</v>
      </c>
    </row>
    <row r="393" spans="1:5" x14ac:dyDescent="0.25">
      <c r="A393" s="13">
        <v>20171219</v>
      </c>
      <c r="B393" s="13" t="str">
        <f t="shared" si="5"/>
        <v>023269</v>
      </c>
      <c r="C393" s="13" t="s">
        <v>2</v>
      </c>
      <c r="D393" s="14">
        <v>49.99</v>
      </c>
      <c r="E393" s="13" t="s">
        <v>313</v>
      </c>
    </row>
    <row r="394" spans="1:5" x14ac:dyDescent="0.25">
      <c r="A394" s="13">
        <v>20171219</v>
      </c>
      <c r="B394" s="13" t="str">
        <f t="shared" si="5"/>
        <v>023269</v>
      </c>
      <c r="C394" s="13" t="s">
        <v>2</v>
      </c>
      <c r="D394" s="14">
        <v>28.68</v>
      </c>
      <c r="E394" s="13" t="s">
        <v>313</v>
      </c>
    </row>
    <row r="395" spans="1:5" x14ac:dyDescent="0.25">
      <c r="A395" s="13">
        <v>20171219</v>
      </c>
      <c r="B395" s="13" t="str">
        <f t="shared" si="5"/>
        <v>023269</v>
      </c>
      <c r="C395" s="13" t="s">
        <v>2</v>
      </c>
      <c r="D395" s="14">
        <v>75.930000000000007</v>
      </c>
      <c r="E395" s="13" t="s">
        <v>314</v>
      </c>
    </row>
    <row r="396" spans="1:5" x14ac:dyDescent="0.25">
      <c r="A396" s="13">
        <v>20171219</v>
      </c>
      <c r="B396" s="13" t="str">
        <f t="shared" si="5"/>
        <v>023269</v>
      </c>
      <c r="C396" s="13" t="s">
        <v>2</v>
      </c>
      <c r="D396" s="14">
        <v>97.01</v>
      </c>
      <c r="E396" s="13" t="s">
        <v>315</v>
      </c>
    </row>
    <row r="397" spans="1:5" x14ac:dyDescent="0.25">
      <c r="A397" s="13">
        <v>20171219</v>
      </c>
      <c r="B397" s="13" t="str">
        <f t="shared" si="5"/>
        <v>023269</v>
      </c>
      <c r="C397" s="13" t="s">
        <v>2</v>
      </c>
      <c r="D397" s="14">
        <v>97.01</v>
      </c>
      <c r="E397" s="13" t="s">
        <v>316</v>
      </c>
    </row>
    <row r="398" spans="1:5" x14ac:dyDescent="0.25">
      <c r="A398" s="13">
        <v>20171219</v>
      </c>
      <c r="B398" s="13" t="str">
        <f>"023270"</f>
        <v>023270</v>
      </c>
      <c r="C398" s="13" t="s">
        <v>99</v>
      </c>
      <c r="D398" s="14">
        <v>23.08</v>
      </c>
      <c r="E398" s="13" t="s">
        <v>186</v>
      </c>
    </row>
    <row r="399" spans="1:5" x14ac:dyDescent="0.25">
      <c r="A399" s="13">
        <v>20171219</v>
      </c>
      <c r="B399" s="13" t="str">
        <f>"023270"</f>
        <v>023270</v>
      </c>
      <c r="C399" s="13" t="s">
        <v>99</v>
      </c>
      <c r="D399" s="14">
        <v>241.96</v>
      </c>
      <c r="E399" s="13" t="s">
        <v>317</v>
      </c>
    </row>
    <row r="400" spans="1:5" x14ac:dyDescent="0.25">
      <c r="A400" s="13">
        <v>20171219</v>
      </c>
      <c r="B400" s="13" t="str">
        <f>"023270"</f>
        <v>023270</v>
      </c>
      <c r="C400" s="13" t="s">
        <v>99</v>
      </c>
      <c r="D400" s="14">
        <v>20.98</v>
      </c>
      <c r="E400" s="13" t="s">
        <v>317</v>
      </c>
    </row>
    <row r="401" spans="1:5" x14ac:dyDescent="0.25">
      <c r="A401" s="13">
        <v>20171219</v>
      </c>
      <c r="B401" s="13" t="str">
        <f>"023270"</f>
        <v>023270</v>
      </c>
      <c r="C401" s="13" t="s">
        <v>99</v>
      </c>
      <c r="D401" s="14">
        <v>39.979999999999997</v>
      </c>
      <c r="E401" s="13" t="s">
        <v>187</v>
      </c>
    </row>
    <row r="402" spans="1:5" x14ac:dyDescent="0.25">
      <c r="A402" s="13">
        <v>20171219</v>
      </c>
      <c r="B402" s="13" t="str">
        <f>"023270"</f>
        <v>023270</v>
      </c>
      <c r="C402" s="13" t="s">
        <v>99</v>
      </c>
      <c r="D402" s="14">
        <v>21.96</v>
      </c>
      <c r="E402" s="13" t="s">
        <v>187</v>
      </c>
    </row>
    <row r="403" spans="1:5" x14ac:dyDescent="0.25">
      <c r="A403" s="13">
        <v>20171219</v>
      </c>
      <c r="B403" s="13" t="str">
        <f>"023271"</f>
        <v>023271</v>
      </c>
      <c r="C403" s="13" t="s">
        <v>18</v>
      </c>
      <c r="D403" s="14">
        <v>425.62</v>
      </c>
      <c r="E403" s="13" t="s">
        <v>318</v>
      </c>
    </row>
    <row r="404" spans="1:5" x14ac:dyDescent="0.25">
      <c r="A404" s="13">
        <v>20171219</v>
      </c>
      <c r="B404" s="13" t="str">
        <f>"023272"</f>
        <v>023272</v>
      </c>
      <c r="C404" s="13" t="s">
        <v>319</v>
      </c>
      <c r="D404" s="14">
        <v>60</v>
      </c>
      <c r="E404" s="13" t="s">
        <v>320</v>
      </c>
    </row>
    <row r="405" spans="1:5" x14ac:dyDescent="0.25">
      <c r="A405" s="13">
        <v>20171219</v>
      </c>
      <c r="B405" s="13" t="str">
        <f t="shared" ref="B405:B415" si="6">"023273"</f>
        <v>023273</v>
      </c>
      <c r="C405" s="13" t="s">
        <v>8</v>
      </c>
      <c r="D405" s="14">
        <v>324</v>
      </c>
      <c r="E405" s="13" t="s">
        <v>321</v>
      </c>
    </row>
    <row r="406" spans="1:5" x14ac:dyDescent="0.25">
      <c r="A406" s="13">
        <v>20171219</v>
      </c>
      <c r="B406" s="13" t="str">
        <f t="shared" si="6"/>
        <v>023273</v>
      </c>
      <c r="C406" s="13" t="s">
        <v>8</v>
      </c>
      <c r="D406" s="14">
        <v>2495.5</v>
      </c>
      <c r="E406" s="13" t="s">
        <v>321</v>
      </c>
    </row>
    <row r="407" spans="1:5" x14ac:dyDescent="0.25">
      <c r="A407" s="13">
        <v>20171219</v>
      </c>
      <c r="B407" s="13" t="str">
        <f t="shared" si="6"/>
        <v>023273</v>
      </c>
      <c r="C407" s="13" t="s">
        <v>8</v>
      </c>
      <c r="D407" s="14">
        <v>176.4</v>
      </c>
      <c r="E407" s="13" t="s">
        <v>321</v>
      </c>
    </row>
    <row r="408" spans="1:5" x14ac:dyDescent="0.25">
      <c r="A408" s="13">
        <v>20171219</v>
      </c>
      <c r="B408" s="13" t="str">
        <f t="shared" si="6"/>
        <v>023273</v>
      </c>
      <c r="C408" s="13" t="s">
        <v>8</v>
      </c>
      <c r="D408" s="14">
        <v>4867</v>
      </c>
      <c r="E408" s="13" t="s">
        <v>321</v>
      </c>
    </row>
    <row r="409" spans="1:5" x14ac:dyDescent="0.25">
      <c r="A409" s="13">
        <v>20171219</v>
      </c>
      <c r="B409" s="13" t="str">
        <f t="shared" si="6"/>
        <v>023273</v>
      </c>
      <c r="C409" s="13" t="s">
        <v>8</v>
      </c>
      <c r="D409" s="14">
        <v>700</v>
      </c>
      <c r="E409" s="13" t="s">
        <v>321</v>
      </c>
    </row>
    <row r="410" spans="1:5" x14ac:dyDescent="0.25">
      <c r="A410" s="13">
        <v>20171219</v>
      </c>
      <c r="B410" s="13" t="str">
        <f t="shared" si="6"/>
        <v>023273</v>
      </c>
      <c r="C410" s="13" t="s">
        <v>8</v>
      </c>
      <c r="D410" s="14">
        <v>72</v>
      </c>
      <c r="E410" s="13" t="s">
        <v>321</v>
      </c>
    </row>
    <row r="411" spans="1:5" x14ac:dyDescent="0.25">
      <c r="A411" s="13">
        <v>20171219</v>
      </c>
      <c r="B411" s="13" t="str">
        <f t="shared" si="6"/>
        <v>023273</v>
      </c>
      <c r="C411" s="13" t="s">
        <v>8</v>
      </c>
      <c r="D411" s="14">
        <v>400</v>
      </c>
      <c r="E411" s="13" t="s">
        <v>322</v>
      </c>
    </row>
    <row r="412" spans="1:5" x14ac:dyDescent="0.25">
      <c r="A412" s="13">
        <v>20171219</v>
      </c>
      <c r="B412" s="13" t="str">
        <f t="shared" si="6"/>
        <v>023273</v>
      </c>
      <c r="C412" s="13" t="s">
        <v>8</v>
      </c>
      <c r="D412" s="14">
        <v>654</v>
      </c>
      <c r="E412" s="13" t="s">
        <v>321</v>
      </c>
    </row>
    <row r="413" spans="1:5" x14ac:dyDescent="0.25">
      <c r="A413" s="13">
        <v>20171219</v>
      </c>
      <c r="B413" s="13" t="str">
        <f t="shared" si="6"/>
        <v>023273</v>
      </c>
      <c r="C413" s="13" t="s">
        <v>8</v>
      </c>
      <c r="D413" s="14">
        <v>1150</v>
      </c>
      <c r="E413" s="13" t="s">
        <v>321</v>
      </c>
    </row>
    <row r="414" spans="1:5" x14ac:dyDescent="0.25">
      <c r="A414" s="13">
        <v>20171219</v>
      </c>
      <c r="B414" s="13" t="str">
        <f t="shared" si="6"/>
        <v>023273</v>
      </c>
      <c r="C414" s="13" t="s">
        <v>8</v>
      </c>
      <c r="D414" s="14">
        <v>40.47</v>
      </c>
      <c r="E414" s="13" t="s">
        <v>323</v>
      </c>
    </row>
    <row r="415" spans="1:5" x14ac:dyDescent="0.25">
      <c r="A415" s="13">
        <v>20171219</v>
      </c>
      <c r="B415" s="13" t="str">
        <f t="shared" si="6"/>
        <v>023273</v>
      </c>
      <c r="C415" s="13" t="s">
        <v>8</v>
      </c>
      <c r="D415" s="14">
        <v>1100</v>
      </c>
      <c r="E415" s="13" t="s">
        <v>321</v>
      </c>
    </row>
    <row r="416" spans="1:5" x14ac:dyDescent="0.25">
      <c r="A416" s="13">
        <v>20171219</v>
      </c>
      <c r="B416" s="13" t="str">
        <f>"023274"</f>
        <v>023274</v>
      </c>
      <c r="C416" s="13" t="s">
        <v>32</v>
      </c>
      <c r="D416" s="14">
        <v>529.98</v>
      </c>
      <c r="E416" s="13" t="s">
        <v>324</v>
      </c>
    </row>
    <row r="417" spans="1:5" x14ac:dyDescent="0.25">
      <c r="A417" s="13">
        <v>20171219</v>
      </c>
      <c r="B417" s="13" t="str">
        <f>"023275"</f>
        <v>023275</v>
      </c>
      <c r="C417" s="13" t="s">
        <v>159</v>
      </c>
      <c r="D417" s="14">
        <v>201.3</v>
      </c>
      <c r="E417" s="13" t="s">
        <v>160</v>
      </c>
    </row>
    <row r="418" spans="1:5" x14ac:dyDescent="0.25">
      <c r="A418" s="13">
        <v>20171219</v>
      </c>
      <c r="B418" s="13" t="str">
        <f>"023276"</f>
        <v>023276</v>
      </c>
      <c r="C418" s="13" t="s">
        <v>197</v>
      </c>
      <c r="D418" s="14">
        <v>590</v>
      </c>
      <c r="E418" s="13" t="s">
        <v>198</v>
      </c>
    </row>
    <row r="419" spans="1:5" x14ac:dyDescent="0.25">
      <c r="A419" s="13">
        <v>20171219</v>
      </c>
      <c r="B419" s="13" t="str">
        <f>"023277"</f>
        <v>023277</v>
      </c>
      <c r="C419" s="13" t="s">
        <v>325</v>
      </c>
      <c r="D419" s="14">
        <v>1003.4</v>
      </c>
      <c r="E419" s="13" t="s">
        <v>326</v>
      </c>
    </row>
    <row r="420" spans="1:5" x14ac:dyDescent="0.25">
      <c r="A420" s="13">
        <v>20171219</v>
      </c>
      <c r="B420" s="13" t="str">
        <f>"023278"</f>
        <v>023278</v>
      </c>
      <c r="C420" s="13" t="s">
        <v>327</v>
      </c>
      <c r="D420" s="14">
        <v>52.98</v>
      </c>
      <c r="E420" s="13" t="s">
        <v>303</v>
      </c>
    </row>
    <row r="421" spans="1:5" x14ac:dyDescent="0.25">
      <c r="C421" s="11" t="s">
        <v>783</v>
      </c>
      <c r="D421" s="12">
        <f>SUM(D328:D420)</f>
        <v>41054.490000000013</v>
      </c>
    </row>
    <row r="422" spans="1:5" x14ac:dyDescent="0.25">
      <c r="A422" s="13">
        <v>20180109</v>
      </c>
      <c r="B422" s="13" t="str">
        <f>"023283"</f>
        <v>023283</v>
      </c>
      <c r="C422" s="13" t="s">
        <v>27</v>
      </c>
      <c r="D422" s="14">
        <v>175</v>
      </c>
      <c r="E422" s="13" t="s">
        <v>328</v>
      </c>
    </row>
    <row r="423" spans="1:5" x14ac:dyDescent="0.25">
      <c r="A423" s="13">
        <v>20180109</v>
      </c>
      <c r="B423" s="13" t="str">
        <f>"023284"</f>
        <v>023284</v>
      </c>
      <c r="C423" s="13" t="s">
        <v>281</v>
      </c>
      <c r="D423" s="14">
        <v>96</v>
      </c>
      <c r="E423" s="13" t="s">
        <v>282</v>
      </c>
    </row>
    <row r="424" spans="1:5" x14ac:dyDescent="0.25">
      <c r="A424" s="13">
        <v>20180109</v>
      </c>
      <c r="B424" s="13" t="str">
        <f>"023285"</f>
        <v>023285</v>
      </c>
      <c r="C424" s="13" t="s">
        <v>74</v>
      </c>
      <c r="D424" s="14">
        <v>11.86</v>
      </c>
      <c r="E424" s="13" t="s">
        <v>75</v>
      </c>
    </row>
    <row r="425" spans="1:5" x14ac:dyDescent="0.25">
      <c r="A425" s="13">
        <v>20180109</v>
      </c>
      <c r="B425" s="13" t="str">
        <f>"023286"</f>
        <v>023286</v>
      </c>
      <c r="C425" s="13" t="s">
        <v>157</v>
      </c>
      <c r="D425" s="14">
        <v>112.72</v>
      </c>
      <c r="E425" s="13" t="s">
        <v>158</v>
      </c>
    </row>
    <row r="426" spans="1:5" x14ac:dyDescent="0.25">
      <c r="A426" s="13">
        <v>20180109</v>
      </c>
      <c r="B426" s="13" t="str">
        <f>"023287"</f>
        <v>023287</v>
      </c>
      <c r="C426" s="13" t="s">
        <v>46</v>
      </c>
      <c r="D426" s="14">
        <v>960</v>
      </c>
      <c r="E426" s="13" t="s">
        <v>329</v>
      </c>
    </row>
    <row r="427" spans="1:5" x14ac:dyDescent="0.25">
      <c r="A427" s="13">
        <v>20180109</v>
      </c>
      <c r="B427" s="13" t="str">
        <f>"023287"</f>
        <v>023287</v>
      </c>
      <c r="C427" s="13" t="s">
        <v>46</v>
      </c>
      <c r="D427" s="14">
        <v>622.41</v>
      </c>
      <c r="E427" s="13" t="s">
        <v>330</v>
      </c>
    </row>
    <row r="428" spans="1:5" x14ac:dyDescent="0.25">
      <c r="A428" s="13">
        <v>20180109</v>
      </c>
      <c r="B428" s="13" t="str">
        <f>"023287"</f>
        <v>023287</v>
      </c>
      <c r="C428" s="13" t="s">
        <v>46</v>
      </c>
      <c r="D428" s="14">
        <v>1958.4</v>
      </c>
      <c r="E428" s="13" t="s">
        <v>329</v>
      </c>
    </row>
    <row r="429" spans="1:5" x14ac:dyDescent="0.25">
      <c r="A429" s="13">
        <v>20180109</v>
      </c>
      <c r="B429" s="13" t="str">
        <f>"023288"</f>
        <v>023288</v>
      </c>
      <c r="C429" s="13" t="s">
        <v>331</v>
      </c>
      <c r="D429" s="14">
        <v>166.75</v>
      </c>
      <c r="E429" s="13" t="s">
        <v>332</v>
      </c>
    </row>
    <row r="430" spans="1:5" x14ac:dyDescent="0.25">
      <c r="A430" s="13">
        <v>20180109</v>
      </c>
      <c r="B430" s="13" t="str">
        <f>"023289"</f>
        <v>023289</v>
      </c>
      <c r="C430" s="13" t="s">
        <v>333</v>
      </c>
      <c r="D430" s="14">
        <v>408</v>
      </c>
      <c r="E430" s="13" t="s">
        <v>334</v>
      </c>
    </row>
    <row r="431" spans="1:5" x14ac:dyDescent="0.25">
      <c r="A431" s="13">
        <v>20180109</v>
      </c>
      <c r="B431" s="13" t="str">
        <f>"023290"</f>
        <v>023290</v>
      </c>
      <c r="C431" s="13" t="s">
        <v>335</v>
      </c>
      <c r="D431" s="14">
        <v>85</v>
      </c>
      <c r="E431" s="13" t="s">
        <v>332</v>
      </c>
    </row>
    <row r="432" spans="1:5" x14ac:dyDescent="0.25">
      <c r="A432" s="13">
        <v>20180109</v>
      </c>
      <c r="B432" s="13" t="str">
        <f>"023292"</f>
        <v>023292</v>
      </c>
      <c r="C432" s="13" t="s">
        <v>336</v>
      </c>
      <c r="D432" s="14">
        <v>816</v>
      </c>
      <c r="E432" s="13" t="s">
        <v>334</v>
      </c>
    </row>
    <row r="433" spans="1:5" x14ac:dyDescent="0.25">
      <c r="A433" s="13">
        <v>20180109</v>
      </c>
      <c r="B433" s="13" t="str">
        <f>"023293"</f>
        <v>023293</v>
      </c>
      <c r="C433" s="13" t="s">
        <v>123</v>
      </c>
      <c r="D433" s="14">
        <v>45.16</v>
      </c>
      <c r="E433" s="13" t="s">
        <v>124</v>
      </c>
    </row>
    <row r="434" spans="1:5" x14ac:dyDescent="0.25">
      <c r="A434" s="13">
        <v>20180109</v>
      </c>
      <c r="B434" s="13" t="str">
        <f>"023294"</f>
        <v>023294</v>
      </c>
      <c r="C434" s="13" t="s">
        <v>220</v>
      </c>
      <c r="D434" s="14">
        <v>5209.3</v>
      </c>
      <c r="E434" s="13" t="s">
        <v>221</v>
      </c>
    </row>
    <row r="435" spans="1:5" x14ac:dyDescent="0.25">
      <c r="A435" s="13">
        <v>20180109</v>
      </c>
      <c r="B435" s="13" t="str">
        <f>"023295"</f>
        <v>023295</v>
      </c>
      <c r="C435" s="13" t="s">
        <v>4</v>
      </c>
      <c r="D435" s="14">
        <v>4.3</v>
      </c>
      <c r="E435" s="13" t="s">
        <v>337</v>
      </c>
    </row>
    <row r="436" spans="1:5" x14ac:dyDescent="0.25">
      <c r="A436" s="13">
        <v>20180109</v>
      </c>
      <c r="B436" s="13" t="str">
        <f>"023297"</f>
        <v>023297</v>
      </c>
      <c r="C436" s="13" t="s">
        <v>133</v>
      </c>
      <c r="D436" s="14">
        <v>385.67</v>
      </c>
      <c r="E436" s="13" t="s">
        <v>134</v>
      </c>
    </row>
    <row r="437" spans="1:5" x14ac:dyDescent="0.25">
      <c r="A437" s="13">
        <v>20180109</v>
      </c>
      <c r="B437" s="13" t="str">
        <f>"023298"</f>
        <v>023298</v>
      </c>
      <c r="C437" s="13" t="s">
        <v>18</v>
      </c>
      <c r="D437" s="14">
        <v>68.209999999999994</v>
      </c>
      <c r="E437" s="13" t="s">
        <v>338</v>
      </c>
    </row>
    <row r="438" spans="1:5" x14ac:dyDescent="0.25">
      <c r="A438" s="13">
        <v>20180109</v>
      </c>
      <c r="B438" s="13" t="str">
        <f>"023298"</f>
        <v>023298</v>
      </c>
      <c r="C438" s="13" t="s">
        <v>18</v>
      </c>
      <c r="D438" s="14">
        <v>5.79</v>
      </c>
      <c r="E438" s="13" t="s">
        <v>338</v>
      </c>
    </row>
    <row r="439" spans="1:5" x14ac:dyDescent="0.25">
      <c r="A439" s="13">
        <v>20180109</v>
      </c>
      <c r="B439" s="13" t="str">
        <f>"023298"</f>
        <v>023298</v>
      </c>
      <c r="C439" s="13" t="s">
        <v>18</v>
      </c>
      <c r="D439" s="14">
        <v>52.2</v>
      </c>
      <c r="E439" s="13" t="s">
        <v>338</v>
      </c>
    </row>
    <row r="440" spans="1:5" x14ac:dyDescent="0.25">
      <c r="A440" s="13">
        <v>20180109</v>
      </c>
      <c r="B440" s="13" t="str">
        <f>"023298"</f>
        <v>023298</v>
      </c>
      <c r="C440" s="13" t="s">
        <v>18</v>
      </c>
      <c r="D440" s="14">
        <v>41.31</v>
      </c>
      <c r="E440" s="13" t="s">
        <v>338</v>
      </c>
    </row>
    <row r="441" spans="1:5" x14ac:dyDescent="0.25">
      <c r="A441" s="13">
        <v>20180109</v>
      </c>
      <c r="B441" s="13" t="str">
        <f>"023299"</f>
        <v>023299</v>
      </c>
      <c r="C441" s="13" t="s">
        <v>8</v>
      </c>
      <c r="D441" s="14">
        <v>18756</v>
      </c>
      <c r="E441" s="13" t="s">
        <v>339</v>
      </c>
    </row>
    <row r="442" spans="1:5" x14ac:dyDescent="0.25">
      <c r="A442" s="13">
        <v>20180109</v>
      </c>
      <c r="B442" s="13" t="str">
        <f>"023300"</f>
        <v>023300</v>
      </c>
      <c r="C442" s="13" t="s">
        <v>30</v>
      </c>
      <c r="D442" s="14">
        <v>80</v>
      </c>
      <c r="E442" s="13" t="s">
        <v>340</v>
      </c>
    </row>
    <row r="443" spans="1:5" x14ac:dyDescent="0.25">
      <c r="A443" s="13">
        <v>20180109</v>
      </c>
      <c r="B443" s="13" t="str">
        <f>"023301"</f>
        <v>023301</v>
      </c>
      <c r="C443" s="13" t="s">
        <v>341</v>
      </c>
      <c r="D443" s="14">
        <v>85.5</v>
      </c>
      <c r="E443" s="13" t="s">
        <v>342</v>
      </c>
    </row>
    <row r="444" spans="1:5" x14ac:dyDescent="0.25">
      <c r="A444" s="13">
        <v>20180109</v>
      </c>
      <c r="B444" s="13" t="str">
        <f>"023302"</f>
        <v>023302</v>
      </c>
      <c r="C444" s="13" t="s">
        <v>343</v>
      </c>
      <c r="D444" s="14">
        <v>1224</v>
      </c>
      <c r="E444" s="13" t="s">
        <v>344</v>
      </c>
    </row>
    <row r="445" spans="1:5" x14ac:dyDescent="0.25">
      <c r="A445" s="13">
        <v>20180109</v>
      </c>
      <c r="B445" s="13" t="str">
        <f>"023303"</f>
        <v>023303</v>
      </c>
      <c r="C445" s="13" t="s">
        <v>345</v>
      </c>
      <c r="D445" s="14">
        <v>250</v>
      </c>
      <c r="E445" s="13" t="s">
        <v>346</v>
      </c>
    </row>
    <row r="446" spans="1:5" x14ac:dyDescent="0.25">
      <c r="A446" s="13">
        <v>20180109</v>
      </c>
      <c r="B446" s="13" t="str">
        <f>"023304"</f>
        <v>023304</v>
      </c>
      <c r="C446" s="13" t="s">
        <v>235</v>
      </c>
      <c r="D446" s="14">
        <v>1249.1199999999999</v>
      </c>
      <c r="E446" s="13" t="s">
        <v>259</v>
      </c>
    </row>
    <row r="447" spans="1:5" x14ac:dyDescent="0.25">
      <c r="A447" s="13">
        <v>20180109</v>
      </c>
      <c r="B447" s="13" t="str">
        <f>"023304"</f>
        <v>023304</v>
      </c>
      <c r="C447" s="13" t="s">
        <v>235</v>
      </c>
      <c r="D447" s="14">
        <v>2220</v>
      </c>
      <c r="E447" s="13" t="s">
        <v>259</v>
      </c>
    </row>
    <row r="448" spans="1:5" x14ac:dyDescent="0.25">
      <c r="A448" s="13">
        <v>20180119</v>
      </c>
      <c r="B448" s="13" t="str">
        <f>"023309"</f>
        <v>023309</v>
      </c>
      <c r="C448" s="13" t="s">
        <v>291</v>
      </c>
      <c r="D448" s="14">
        <v>74.22</v>
      </c>
      <c r="E448" s="13" t="s">
        <v>347</v>
      </c>
    </row>
    <row r="449" spans="1:5" x14ac:dyDescent="0.25">
      <c r="A449" s="13">
        <v>20180119</v>
      </c>
      <c r="B449" s="13" t="str">
        <f>"023310"</f>
        <v>023310</v>
      </c>
      <c r="C449" s="13" t="s">
        <v>27</v>
      </c>
      <c r="D449" s="14">
        <v>271.55</v>
      </c>
      <c r="E449" s="13" t="s">
        <v>348</v>
      </c>
    </row>
    <row r="450" spans="1:5" x14ac:dyDescent="0.25">
      <c r="A450" s="13">
        <v>20180119</v>
      </c>
      <c r="B450" s="13" t="str">
        <f>"023311"</f>
        <v>023311</v>
      </c>
      <c r="C450" s="13" t="s">
        <v>218</v>
      </c>
      <c r="D450" s="14">
        <v>75</v>
      </c>
      <c r="E450" s="13" t="s">
        <v>349</v>
      </c>
    </row>
    <row r="451" spans="1:5" x14ac:dyDescent="0.25">
      <c r="A451" s="13">
        <v>20180119</v>
      </c>
      <c r="B451" s="13" t="str">
        <f>"023312"</f>
        <v>023312</v>
      </c>
      <c r="C451" s="13" t="s">
        <v>164</v>
      </c>
      <c r="D451" s="14">
        <v>9066.59</v>
      </c>
      <c r="E451" s="13" t="s">
        <v>165</v>
      </c>
    </row>
    <row r="452" spans="1:5" x14ac:dyDescent="0.25">
      <c r="A452" s="13">
        <v>20180119</v>
      </c>
      <c r="B452" s="13" t="str">
        <f>"023313"</f>
        <v>023313</v>
      </c>
      <c r="C452" s="13" t="s">
        <v>335</v>
      </c>
      <c r="D452" s="14">
        <v>166.75</v>
      </c>
      <c r="E452" s="13" t="s">
        <v>350</v>
      </c>
    </row>
    <row r="453" spans="1:5" x14ac:dyDescent="0.25">
      <c r="A453" s="13">
        <v>20180119</v>
      </c>
      <c r="B453" s="13" t="str">
        <f>"023313"</f>
        <v>023313</v>
      </c>
      <c r="C453" s="13" t="s">
        <v>335</v>
      </c>
      <c r="D453" s="14">
        <v>141.75</v>
      </c>
      <c r="E453" s="13" t="s">
        <v>351</v>
      </c>
    </row>
    <row r="454" spans="1:5" x14ac:dyDescent="0.25">
      <c r="A454" s="13">
        <v>20180119</v>
      </c>
      <c r="B454" s="13" t="str">
        <f>"023314"</f>
        <v>023314</v>
      </c>
      <c r="C454" s="13" t="s">
        <v>352</v>
      </c>
      <c r="D454" s="14">
        <v>141</v>
      </c>
      <c r="E454" s="13" t="s">
        <v>353</v>
      </c>
    </row>
    <row r="455" spans="1:5" x14ac:dyDescent="0.25">
      <c r="A455" s="13">
        <v>20180119</v>
      </c>
      <c r="B455" s="13" t="str">
        <f>"023315"</f>
        <v>023315</v>
      </c>
      <c r="C455" s="13" t="s">
        <v>264</v>
      </c>
      <c r="D455" s="14">
        <v>550</v>
      </c>
      <c r="E455" s="13" t="s">
        <v>354</v>
      </c>
    </row>
    <row r="456" spans="1:5" x14ac:dyDescent="0.25">
      <c r="A456" s="13">
        <v>20180119</v>
      </c>
      <c r="B456" s="13" t="str">
        <f t="shared" ref="B456:B461" si="7">"023316"</f>
        <v>023316</v>
      </c>
      <c r="C456" s="13" t="s">
        <v>123</v>
      </c>
      <c r="D456" s="14">
        <v>23.76</v>
      </c>
      <c r="E456" s="13" t="s">
        <v>124</v>
      </c>
    </row>
    <row r="457" spans="1:5" x14ac:dyDescent="0.25">
      <c r="A457" s="13">
        <v>20180119</v>
      </c>
      <c r="B457" s="13" t="str">
        <f t="shared" si="7"/>
        <v>023316</v>
      </c>
      <c r="C457" s="13" t="s">
        <v>123</v>
      </c>
      <c r="D457" s="14">
        <v>64.31</v>
      </c>
      <c r="E457" s="13" t="s">
        <v>124</v>
      </c>
    </row>
    <row r="458" spans="1:5" x14ac:dyDescent="0.25">
      <c r="A458" s="13">
        <v>20180119</v>
      </c>
      <c r="B458" s="13" t="str">
        <f t="shared" si="7"/>
        <v>023316</v>
      </c>
      <c r="C458" s="13" t="s">
        <v>123</v>
      </c>
      <c r="D458" s="14">
        <v>68.58</v>
      </c>
      <c r="E458" s="13" t="s">
        <v>124</v>
      </c>
    </row>
    <row r="459" spans="1:5" x14ac:dyDescent="0.25">
      <c r="A459" s="13">
        <v>20180119</v>
      </c>
      <c r="B459" s="13" t="str">
        <f t="shared" si="7"/>
        <v>023316</v>
      </c>
      <c r="C459" s="13" t="s">
        <v>123</v>
      </c>
      <c r="D459" s="14">
        <v>765.72</v>
      </c>
      <c r="E459" s="13" t="s">
        <v>124</v>
      </c>
    </row>
    <row r="460" spans="1:5" x14ac:dyDescent="0.25">
      <c r="A460" s="13">
        <v>20180119</v>
      </c>
      <c r="B460" s="13" t="str">
        <f t="shared" si="7"/>
        <v>023316</v>
      </c>
      <c r="C460" s="13" t="s">
        <v>123</v>
      </c>
      <c r="D460" s="14">
        <v>769.59</v>
      </c>
      <c r="E460" s="13" t="s">
        <v>124</v>
      </c>
    </row>
    <row r="461" spans="1:5" x14ac:dyDescent="0.25">
      <c r="A461" s="13">
        <v>20180119</v>
      </c>
      <c r="B461" s="13" t="str">
        <f t="shared" si="7"/>
        <v>023316</v>
      </c>
      <c r="C461" s="13" t="s">
        <v>123</v>
      </c>
      <c r="D461" s="14">
        <v>262.76</v>
      </c>
      <c r="E461" s="13" t="s">
        <v>124</v>
      </c>
    </row>
    <row r="462" spans="1:5" x14ac:dyDescent="0.25">
      <c r="A462" s="13">
        <v>20180119</v>
      </c>
      <c r="B462" s="13" t="str">
        <f>"023317"</f>
        <v>023317</v>
      </c>
      <c r="C462" s="13" t="s">
        <v>355</v>
      </c>
      <c r="D462" s="14">
        <v>1525</v>
      </c>
      <c r="E462" s="13" t="s">
        <v>356</v>
      </c>
    </row>
    <row r="463" spans="1:5" x14ac:dyDescent="0.25">
      <c r="A463" s="13">
        <v>20180119</v>
      </c>
      <c r="B463" s="13" t="str">
        <f>"023318"</f>
        <v>023318</v>
      </c>
      <c r="C463" s="13" t="s">
        <v>224</v>
      </c>
      <c r="D463" s="14">
        <v>17</v>
      </c>
      <c r="E463" s="13" t="s">
        <v>288</v>
      </c>
    </row>
    <row r="464" spans="1:5" x14ac:dyDescent="0.25">
      <c r="A464" s="13">
        <v>20180119</v>
      </c>
      <c r="B464" s="13" t="str">
        <f>"023319"</f>
        <v>023319</v>
      </c>
      <c r="C464" s="13" t="s">
        <v>2</v>
      </c>
      <c r="D464" s="14">
        <v>6.59</v>
      </c>
      <c r="E464" s="13" t="s">
        <v>357</v>
      </c>
    </row>
    <row r="465" spans="1:5" x14ac:dyDescent="0.25">
      <c r="A465" s="13">
        <v>20180119</v>
      </c>
      <c r="B465" s="13" t="str">
        <f>"023320"</f>
        <v>023320</v>
      </c>
      <c r="C465" s="13" t="s">
        <v>42</v>
      </c>
      <c r="D465" s="14">
        <v>981.45</v>
      </c>
      <c r="E465" s="13" t="s">
        <v>358</v>
      </c>
    </row>
    <row r="466" spans="1:5" x14ac:dyDescent="0.25">
      <c r="A466" s="13">
        <v>20180119</v>
      </c>
      <c r="B466" s="13" t="str">
        <f>"023321"</f>
        <v>023321</v>
      </c>
      <c r="C466" s="13" t="s">
        <v>359</v>
      </c>
      <c r="D466" s="14">
        <v>272.25</v>
      </c>
      <c r="E466" s="13" t="s">
        <v>360</v>
      </c>
    </row>
    <row r="467" spans="1:5" x14ac:dyDescent="0.25">
      <c r="A467" s="13">
        <v>20180119</v>
      </c>
      <c r="B467" s="13" t="str">
        <f>"023322"</f>
        <v>023322</v>
      </c>
      <c r="C467" s="13" t="s">
        <v>99</v>
      </c>
      <c r="D467" s="14">
        <v>62.08</v>
      </c>
      <c r="E467" s="13" t="s">
        <v>361</v>
      </c>
    </row>
    <row r="468" spans="1:5" x14ac:dyDescent="0.25">
      <c r="A468" s="13">
        <v>20180119</v>
      </c>
      <c r="B468" s="13" t="str">
        <f>"023323"</f>
        <v>023323</v>
      </c>
      <c r="C468" s="13" t="s">
        <v>362</v>
      </c>
      <c r="D468" s="14">
        <v>26.2</v>
      </c>
      <c r="E468" s="13" t="s">
        <v>363</v>
      </c>
    </row>
    <row r="469" spans="1:5" x14ac:dyDescent="0.25">
      <c r="A469" s="13">
        <v>20180119</v>
      </c>
      <c r="B469" s="13" t="str">
        <f>"023324"</f>
        <v>023324</v>
      </c>
      <c r="C469" s="13" t="s">
        <v>18</v>
      </c>
      <c r="D469" s="14">
        <v>32.979999999999997</v>
      </c>
      <c r="E469" s="13" t="s">
        <v>364</v>
      </c>
    </row>
    <row r="470" spans="1:5" x14ac:dyDescent="0.25">
      <c r="A470" s="13">
        <v>20180119</v>
      </c>
      <c r="B470" s="13" t="str">
        <f>"023324"</f>
        <v>023324</v>
      </c>
      <c r="C470" s="13" t="s">
        <v>18</v>
      </c>
      <c r="D470" s="14">
        <v>500</v>
      </c>
      <c r="E470" s="13" t="s">
        <v>365</v>
      </c>
    </row>
    <row r="471" spans="1:5" x14ac:dyDescent="0.25">
      <c r="A471" s="13">
        <v>20180119</v>
      </c>
      <c r="B471" s="13" t="str">
        <f>"023324"</f>
        <v>023324</v>
      </c>
      <c r="C471" s="13" t="s">
        <v>18</v>
      </c>
      <c r="D471" s="14">
        <v>384.7</v>
      </c>
      <c r="E471" s="13" t="s">
        <v>365</v>
      </c>
    </row>
    <row r="472" spans="1:5" x14ac:dyDescent="0.25">
      <c r="A472" s="13">
        <v>20180119</v>
      </c>
      <c r="B472" s="13" t="str">
        <f>"023325"</f>
        <v>023325</v>
      </c>
      <c r="C472" s="13" t="s">
        <v>191</v>
      </c>
      <c r="D472" s="14">
        <v>59.5</v>
      </c>
      <c r="E472" s="13" t="s">
        <v>366</v>
      </c>
    </row>
    <row r="473" spans="1:5" x14ac:dyDescent="0.25">
      <c r="A473" s="13">
        <v>20180119</v>
      </c>
      <c r="B473" s="13" t="str">
        <f>"023326"</f>
        <v>023326</v>
      </c>
      <c r="C473" s="13" t="s">
        <v>159</v>
      </c>
      <c r="D473" s="14">
        <v>204.27</v>
      </c>
      <c r="E473" s="13" t="s">
        <v>160</v>
      </c>
    </row>
    <row r="474" spans="1:5" x14ac:dyDescent="0.25">
      <c r="A474" s="13">
        <v>20180119</v>
      </c>
      <c r="B474" s="13" t="str">
        <f>"023327"</f>
        <v>023327</v>
      </c>
      <c r="C474" s="13" t="s">
        <v>367</v>
      </c>
      <c r="D474" s="14">
        <v>364.11</v>
      </c>
      <c r="E474" s="13" t="s">
        <v>368</v>
      </c>
    </row>
    <row r="475" spans="1:5" x14ac:dyDescent="0.25">
      <c r="A475" s="13">
        <v>20180119</v>
      </c>
      <c r="B475" s="13" t="str">
        <f>"023328"</f>
        <v>023328</v>
      </c>
      <c r="C475" s="13" t="s">
        <v>258</v>
      </c>
      <c r="D475" s="14">
        <v>104.88</v>
      </c>
      <c r="E475" s="13" t="s">
        <v>353</v>
      </c>
    </row>
    <row r="476" spans="1:5" x14ac:dyDescent="0.25">
      <c r="A476" s="13">
        <v>20180119</v>
      </c>
      <c r="B476" s="13" t="str">
        <f>"023328"</f>
        <v>023328</v>
      </c>
      <c r="C476" s="13" t="s">
        <v>258</v>
      </c>
      <c r="D476" s="14">
        <v>84.88</v>
      </c>
      <c r="E476" s="13" t="s">
        <v>369</v>
      </c>
    </row>
    <row r="477" spans="1:5" x14ac:dyDescent="0.25">
      <c r="A477" s="13">
        <v>20180119</v>
      </c>
      <c r="B477" s="13" t="str">
        <f>"023329"</f>
        <v>023329</v>
      </c>
      <c r="C477" s="13" t="s">
        <v>197</v>
      </c>
      <c r="D477" s="14">
        <v>147.5</v>
      </c>
      <c r="E477" s="13" t="s">
        <v>198</v>
      </c>
    </row>
    <row r="478" spans="1:5" x14ac:dyDescent="0.25">
      <c r="A478" s="13">
        <v>20180119</v>
      </c>
      <c r="B478" s="13" t="str">
        <f>"023330"</f>
        <v>023330</v>
      </c>
      <c r="C478" s="13" t="s">
        <v>370</v>
      </c>
      <c r="D478" s="14">
        <v>97.25</v>
      </c>
      <c r="E478" s="13" t="s">
        <v>350</v>
      </c>
    </row>
    <row r="479" spans="1:5" x14ac:dyDescent="0.25">
      <c r="A479" s="13">
        <v>20180119</v>
      </c>
      <c r="B479" s="13" t="str">
        <f>"023331"</f>
        <v>023331</v>
      </c>
      <c r="C479" s="13" t="s">
        <v>235</v>
      </c>
      <c r="D479" s="14">
        <v>1618.94</v>
      </c>
      <c r="E479" s="13" t="s">
        <v>259</v>
      </c>
    </row>
    <row r="480" spans="1:5" x14ac:dyDescent="0.25">
      <c r="A480" s="13">
        <v>20180124</v>
      </c>
      <c r="B480" s="13" t="str">
        <f>"023336"</f>
        <v>023336</v>
      </c>
      <c r="C480" s="13" t="s">
        <v>371</v>
      </c>
      <c r="D480" s="14">
        <v>35.549999999999997</v>
      </c>
      <c r="E480" s="13" t="s">
        <v>372</v>
      </c>
    </row>
    <row r="481" spans="1:5" x14ac:dyDescent="0.25">
      <c r="A481" s="13">
        <v>20180124</v>
      </c>
      <c r="B481" s="13" t="str">
        <f>"023337"</f>
        <v>023337</v>
      </c>
      <c r="C481" s="13" t="s">
        <v>373</v>
      </c>
      <c r="D481" s="14">
        <v>2</v>
      </c>
      <c r="E481" s="13" t="s">
        <v>374</v>
      </c>
    </row>
    <row r="482" spans="1:5" x14ac:dyDescent="0.25">
      <c r="A482" s="13">
        <v>20180124</v>
      </c>
      <c r="B482" s="13" t="str">
        <f>"023338"</f>
        <v>023338</v>
      </c>
      <c r="C482" s="13" t="s">
        <v>74</v>
      </c>
      <c r="D482" s="14">
        <v>11.92</v>
      </c>
      <c r="E482" s="13" t="s">
        <v>75</v>
      </c>
    </row>
    <row r="483" spans="1:5" x14ac:dyDescent="0.25">
      <c r="A483" s="13">
        <v>20180124</v>
      </c>
      <c r="B483" s="13" t="str">
        <f>"023339"</f>
        <v>023339</v>
      </c>
      <c r="C483" s="13" t="s">
        <v>52</v>
      </c>
      <c r="D483" s="14">
        <v>75</v>
      </c>
      <c r="E483" s="13" t="s">
        <v>375</v>
      </c>
    </row>
    <row r="484" spans="1:5" x14ac:dyDescent="0.25">
      <c r="A484" s="13">
        <v>20180124</v>
      </c>
      <c r="B484" s="13" t="str">
        <f>"023340"</f>
        <v>023340</v>
      </c>
      <c r="C484" s="13" t="s">
        <v>76</v>
      </c>
      <c r="D484" s="14">
        <v>202.46</v>
      </c>
      <c r="E484" s="13" t="s">
        <v>77</v>
      </c>
    </row>
    <row r="485" spans="1:5" x14ac:dyDescent="0.25">
      <c r="A485" s="13">
        <v>20180124</v>
      </c>
      <c r="B485" s="13" t="str">
        <f>"023340"</f>
        <v>023340</v>
      </c>
      <c r="C485" s="13" t="s">
        <v>76</v>
      </c>
      <c r="D485" s="14">
        <v>213.94</v>
      </c>
      <c r="E485" s="13" t="s">
        <v>77</v>
      </c>
    </row>
    <row r="486" spans="1:5" x14ac:dyDescent="0.25">
      <c r="A486" s="13">
        <v>20180124</v>
      </c>
      <c r="B486" s="13" t="str">
        <f>"023340"</f>
        <v>023340</v>
      </c>
      <c r="C486" s="13" t="s">
        <v>76</v>
      </c>
      <c r="D486" s="14">
        <v>67.489999999999995</v>
      </c>
      <c r="E486" s="13" t="s">
        <v>77</v>
      </c>
    </row>
    <row r="487" spans="1:5" x14ac:dyDescent="0.25">
      <c r="A487" s="13">
        <v>20180124</v>
      </c>
      <c r="B487" s="13" t="str">
        <f>"023340"</f>
        <v>023340</v>
      </c>
      <c r="C487" s="13" t="s">
        <v>76</v>
      </c>
      <c r="D487" s="14">
        <v>67.489999999999995</v>
      </c>
      <c r="E487" s="13" t="s">
        <v>77</v>
      </c>
    </row>
    <row r="488" spans="1:5" x14ac:dyDescent="0.25">
      <c r="A488" s="13">
        <v>20180124</v>
      </c>
      <c r="B488" s="13" t="str">
        <f>"023341"</f>
        <v>023341</v>
      </c>
      <c r="C488" s="13" t="s">
        <v>376</v>
      </c>
      <c r="D488" s="14">
        <v>31.18</v>
      </c>
      <c r="E488" s="13" t="s">
        <v>377</v>
      </c>
    </row>
    <row r="489" spans="1:5" x14ac:dyDescent="0.25">
      <c r="A489" s="13">
        <v>20180124</v>
      </c>
      <c r="B489" s="13" t="str">
        <f>"023341"</f>
        <v>023341</v>
      </c>
      <c r="C489" s="13" t="s">
        <v>376</v>
      </c>
      <c r="D489" s="14">
        <v>2588.12</v>
      </c>
      <c r="E489" s="13" t="s">
        <v>378</v>
      </c>
    </row>
    <row r="490" spans="1:5" x14ac:dyDescent="0.25">
      <c r="A490" s="13">
        <v>20180124</v>
      </c>
      <c r="B490" s="13" t="str">
        <f>"023342"</f>
        <v>023342</v>
      </c>
      <c r="C490" s="13" t="s">
        <v>80</v>
      </c>
      <c r="D490" s="14">
        <v>121.78</v>
      </c>
      <c r="E490" s="13" t="s">
        <v>81</v>
      </c>
    </row>
    <row r="491" spans="1:5" x14ac:dyDescent="0.25">
      <c r="A491" s="13">
        <v>20180124</v>
      </c>
      <c r="B491" s="13" t="str">
        <f>"023343"</f>
        <v>023343</v>
      </c>
      <c r="C491" s="13" t="s">
        <v>379</v>
      </c>
      <c r="D491" s="14">
        <v>107.4</v>
      </c>
      <c r="E491" s="13" t="s">
        <v>380</v>
      </c>
    </row>
    <row r="492" spans="1:5" x14ac:dyDescent="0.25">
      <c r="A492" s="13">
        <v>20180124</v>
      </c>
      <c r="B492" s="13" t="str">
        <f>"023345"</f>
        <v>023345</v>
      </c>
      <c r="C492" s="13" t="s">
        <v>2</v>
      </c>
      <c r="D492" s="14">
        <v>227.6</v>
      </c>
      <c r="E492" s="13" t="s">
        <v>381</v>
      </c>
    </row>
    <row r="493" spans="1:5" x14ac:dyDescent="0.25">
      <c r="A493" s="13">
        <v>20180124</v>
      </c>
      <c r="B493" s="13" t="str">
        <f>"023345"</f>
        <v>023345</v>
      </c>
      <c r="C493" s="13" t="s">
        <v>2</v>
      </c>
      <c r="D493" s="14">
        <v>83.51</v>
      </c>
      <c r="E493" s="13" t="s">
        <v>382</v>
      </c>
    </row>
    <row r="494" spans="1:5" x14ac:dyDescent="0.25">
      <c r="A494" s="13">
        <v>20180124</v>
      </c>
      <c r="B494" s="13" t="str">
        <f>"023345"</f>
        <v>023345</v>
      </c>
      <c r="C494" s="13" t="s">
        <v>2</v>
      </c>
      <c r="D494" s="14">
        <v>393.72</v>
      </c>
      <c r="E494" s="13" t="s">
        <v>383</v>
      </c>
    </row>
    <row r="495" spans="1:5" x14ac:dyDescent="0.25">
      <c r="A495" s="13">
        <v>20180124</v>
      </c>
      <c r="B495" s="13" t="str">
        <f>"023346"</f>
        <v>023346</v>
      </c>
      <c r="C495" s="13" t="s">
        <v>245</v>
      </c>
      <c r="D495" s="14">
        <v>35</v>
      </c>
      <c r="E495" s="13" t="s">
        <v>384</v>
      </c>
    </row>
    <row r="496" spans="1:5" x14ac:dyDescent="0.25">
      <c r="A496" s="13">
        <v>20180124</v>
      </c>
      <c r="B496" s="13" t="str">
        <f>"023347"</f>
        <v>023347</v>
      </c>
      <c r="C496" s="13" t="s">
        <v>385</v>
      </c>
      <c r="D496" s="14">
        <v>66</v>
      </c>
      <c r="E496" s="13" t="s">
        <v>141</v>
      </c>
    </row>
    <row r="497" spans="1:5" x14ac:dyDescent="0.25">
      <c r="A497" s="13">
        <v>20180124</v>
      </c>
      <c r="B497" s="13" t="str">
        <f>"023347"</f>
        <v>023347</v>
      </c>
      <c r="C497" s="13" t="s">
        <v>385</v>
      </c>
      <c r="D497" s="14">
        <v>38</v>
      </c>
      <c r="E497" s="13" t="s">
        <v>141</v>
      </c>
    </row>
    <row r="498" spans="1:5" x14ac:dyDescent="0.25">
      <c r="A498" s="13">
        <v>20180124</v>
      </c>
      <c r="B498" s="13" t="str">
        <f>"023347"</f>
        <v>023347</v>
      </c>
      <c r="C498" s="13" t="s">
        <v>385</v>
      </c>
      <c r="D498" s="14">
        <v>96</v>
      </c>
      <c r="E498" s="13" t="s">
        <v>141</v>
      </c>
    </row>
    <row r="499" spans="1:5" x14ac:dyDescent="0.25">
      <c r="A499" s="13">
        <v>20180124</v>
      </c>
      <c r="B499" s="13" t="str">
        <f>"023348"</f>
        <v>023348</v>
      </c>
      <c r="C499" s="13" t="s">
        <v>202</v>
      </c>
      <c r="D499" s="14">
        <v>52</v>
      </c>
      <c r="E499" s="13" t="s">
        <v>386</v>
      </c>
    </row>
    <row r="500" spans="1:5" x14ac:dyDescent="0.25">
      <c r="A500" s="13">
        <v>20180124</v>
      </c>
      <c r="B500" s="13" t="str">
        <f>"023349"</f>
        <v>023349</v>
      </c>
      <c r="C500" s="13" t="s">
        <v>110</v>
      </c>
      <c r="D500" s="14">
        <v>950</v>
      </c>
      <c r="E500" s="13" t="s">
        <v>387</v>
      </c>
    </row>
    <row r="501" spans="1:5" x14ac:dyDescent="0.25">
      <c r="A501" s="13">
        <v>20180124</v>
      </c>
      <c r="B501" s="13" t="str">
        <f>"023349"</f>
        <v>023349</v>
      </c>
      <c r="C501" s="13" t="s">
        <v>110</v>
      </c>
      <c r="D501" s="14">
        <v>750</v>
      </c>
      <c r="E501" s="13" t="s">
        <v>388</v>
      </c>
    </row>
    <row r="502" spans="1:5" x14ac:dyDescent="0.25">
      <c r="A502" s="13">
        <v>20180124</v>
      </c>
      <c r="B502" s="13" t="str">
        <f>"023350"</f>
        <v>023350</v>
      </c>
      <c r="C502" s="13" t="s">
        <v>68</v>
      </c>
      <c r="D502" s="14">
        <v>225</v>
      </c>
      <c r="E502" s="13" t="s">
        <v>389</v>
      </c>
    </row>
    <row r="503" spans="1:5" x14ac:dyDescent="0.25">
      <c r="A503" s="13">
        <v>20180124</v>
      </c>
      <c r="B503" s="13" t="str">
        <f>"023350"</f>
        <v>023350</v>
      </c>
      <c r="C503" s="13" t="s">
        <v>68</v>
      </c>
      <c r="D503" s="14">
        <v>123.94</v>
      </c>
      <c r="E503" s="13" t="s">
        <v>389</v>
      </c>
    </row>
    <row r="504" spans="1:5" x14ac:dyDescent="0.25">
      <c r="A504" s="13">
        <v>20180124</v>
      </c>
      <c r="B504" s="13" t="str">
        <f>"023350"</f>
        <v>023350</v>
      </c>
      <c r="C504" s="13" t="s">
        <v>68</v>
      </c>
      <c r="D504" s="14">
        <v>50</v>
      </c>
      <c r="E504" s="13" t="s">
        <v>390</v>
      </c>
    </row>
    <row r="505" spans="1:5" x14ac:dyDescent="0.25">
      <c r="A505" s="13">
        <v>20180124</v>
      </c>
      <c r="B505" s="13" t="str">
        <f>"023351"</f>
        <v>023351</v>
      </c>
      <c r="C505" s="13" t="s">
        <v>258</v>
      </c>
      <c r="D505" s="14">
        <v>69.88</v>
      </c>
      <c r="E505" s="13" t="s">
        <v>384</v>
      </c>
    </row>
    <row r="506" spans="1:5" x14ac:dyDescent="0.25">
      <c r="A506" s="13">
        <v>20180131</v>
      </c>
      <c r="B506" s="13" t="str">
        <f>"023352"</f>
        <v>023352</v>
      </c>
      <c r="C506" s="13" t="s">
        <v>296</v>
      </c>
      <c r="D506" s="14">
        <v>180</v>
      </c>
      <c r="E506" s="13" t="s">
        <v>391</v>
      </c>
    </row>
    <row r="507" spans="1:5" x14ac:dyDescent="0.25">
      <c r="A507" s="13">
        <v>20180131</v>
      </c>
      <c r="B507" s="13" t="str">
        <f>"023353"</f>
        <v>023353</v>
      </c>
      <c r="C507" s="13" t="s">
        <v>335</v>
      </c>
      <c r="D507" s="14">
        <v>166.75</v>
      </c>
      <c r="E507" s="13" t="s">
        <v>392</v>
      </c>
    </row>
    <row r="508" spans="1:5" x14ac:dyDescent="0.25">
      <c r="A508" s="13">
        <v>20180131</v>
      </c>
      <c r="B508" s="13" t="str">
        <f>"023354"</f>
        <v>023354</v>
      </c>
      <c r="C508" s="13" t="s">
        <v>393</v>
      </c>
      <c r="D508" s="14">
        <v>3407.73</v>
      </c>
      <c r="E508" s="13" t="s">
        <v>394</v>
      </c>
    </row>
    <row r="509" spans="1:5" x14ac:dyDescent="0.25">
      <c r="A509" s="13">
        <v>20180131</v>
      </c>
      <c r="B509" s="13" t="str">
        <f>"023355"</f>
        <v>023355</v>
      </c>
      <c r="C509" s="13" t="s">
        <v>56</v>
      </c>
      <c r="D509" s="14">
        <v>270.48</v>
      </c>
      <c r="E509" s="13" t="s">
        <v>395</v>
      </c>
    </row>
    <row r="510" spans="1:5" x14ac:dyDescent="0.25">
      <c r="A510" s="13">
        <v>20180131</v>
      </c>
      <c r="B510" s="13" t="str">
        <f>"023355"</f>
        <v>023355</v>
      </c>
      <c r="C510" s="13" t="s">
        <v>56</v>
      </c>
      <c r="D510" s="14">
        <v>270.52999999999997</v>
      </c>
      <c r="E510" s="13" t="s">
        <v>395</v>
      </c>
    </row>
    <row r="511" spans="1:5" x14ac:dyDescent="0.25">
      <c r="A511" s="13">
        <v>20180131</v>
      </c>
      <c r="B511" s="13" t="str">
        <f>"023356"</f>
        <v>023356</v>
      </c>
      <c r="C511" s="13" t="s">
        <v>135</v>
      </c>
      <c r="D511" s="14">
        <v>25.95</v>
      </c>
      <c r="E511" s="13" t="s">
        <v>396</v>
      </c>
    </row>
    <row r="512" spans="1:5" x14ac:dyDescent="0.25">
      <c r="A512" s="13">
        <v>20180131</v>
      </c>
      <c r="B512" s="13" t="str">
        <f>"023357"</f>
        <v>023357</v>
      </c>
      <c r="C512" s="13" t="s">
        <v>18</v>
      </c>
      <c r="D512" s="14">
        <v>811.97</v>
      </c>
      <c r="E512" s="13" t="s">
        <v>397</v>
      </c>
    </row>
    <row r="513" spans="1:5" x14ac:dyDescent="0.25">
      <c r="A513" s="13">
        <v>20180131</v>
      </c>
      <c r="B513" s="13" t="str">
        <f>"023357"</f>
        <v>023357</v>
      </c>
      <c r="C513" s="13" t="s">
        <v>18</v>
      </c>
      <c r="D513" s="14">
        <v>56.78</v>
      </c>
      <c r="E513" s="13" t="s">
        <v>397</v>
      </c>
    </row>
    <row r="514" spans="1:5" x14ac:dyDescent="0.25">
      <c r="A514" s="13">
        <v>20180131</v>
      </c>
      <c r="B514" s="13" t="str">
        <f>"023357"</f>
        <v>023357</v>
      </c>
      <c r="C514" s="13" t="s">
        <v>18</v>
      </c>
      <c r="D514" s="14">
        <v>129.74</v>
      </c>
      <c r="E514" s="13" t="s">
        <v>397</v>
      </c>
    </row>
    <row r="515" spans="1:5" x14ac:dyDescent="0.25">
      <c r="A515" s="13">
        <v>20180131</v>
      </c>
      <c r="B515" s="13" t="str">
        <f>"023357"</f>
        <v>023357</v>
      </c>
      <c r="C515" s="13" t="s">
        <v>18</v>
      </c>
      <c r="D515" s="14">
        <v>6.98</v>
      </c>
      <c r="E515" s="13" t="s">
        <v>397</v>
      </c>
    </row>
    <row r="516" spans="1:5" x14ac:dyDescent="0.25">
      <c r="A516" s="13">
        <v>20180131</v>
      </c>
      <c r="B516" s="13" t="str">
        <f>"023358"</f>
        <v>023358</v>
      </c>
      <c r="C516" s="13" t="s">
        <v>398</v>
      </c>
      <c r="D516" s="14">
        <v>160</v>
      </c>
      <c r="E516" s="13" t="s">
        <v>399</v>
      </c>
    </row>
    <row r="517" spans="1:5" x14ac:dyDescent="0.25">
      <c r="A517" s="13">
        <v>20180131</v>
      </c>
      <c r="B517" s="13" t="str">
        <f>"023359"</f>
        <v>023359</v>
      </c>
      <c r="C517" s="13" t="s">
        <v>400</v>
      </c>
      <c r="D517" s="14">
        <v>80</v>
      </c>
      <c r="E517" s="13" t="s">
        <v>401</v>
      </c>
    </row>
    <row r="518" spans="1:5" x14ac:dyDescent="0.25">
      <c r="A518" s="13">
        <v>20180131</v>
      </c>
      <c r="B518" s="13" t="str">
        <f>"023360"</f>
        <v>023360</v>
      </c>
      <c r="C518" s="13" t="s">
        <v>235</v>
      </c>
      <c r="D518" s="14">
        <v>370</v>
      </c>
      <c r="E518" s="13" t="s">
        <v>259</v>
      </c>
    </row>
    <row r="519" spans="1:5" x14ac:dyDescent="0.25">
      <c r="A519" s="13">
        <v>20180131</v>
      </c>
      <c r="B519" s="13" t="str">
        <f>"023360"</f>
        <v>023360</v>
      </c>
      <c r="C519" s="13" t="s">
        <v>235</v>
      </c>
      <c r="D519" s="14">
        <v>2386.5</v>
      </c>
      <c r="E519" s="13" t="s">
        <v>259</v>
      </c>
    </row>
    <row r="520" spans="1:5" x14ac:dyDescent="0.25">
      <c r="C520" s="11" t="s">
        <v>784</v>
      </c>
      <c r="D520" s="12">
        <f>SUM(D422:D519)</f>
        <v>69028.249999999985</v>
      </c>
    </row>
    <row r="521" spans="1:5" x14ac:dyDescent="0.25">
      <c r="A521" s="13">
        <v>20180215</v>
      </c>
      <c r="B521" s="13" t="str">
        <f>"030001"</f>
        <v>030001</v>
      </c>
      <c r="C521" s="13" t="s">
        <v>27</v>
      </c>
      <c r="D521" s="14">
        <v>30</v>
      </c>
      <c r="E521" s="13" t="s">
        <v>402</v>
      </c>
    </row>
    <row r="522" spans="1:5" x14ac:dyDescent="0.25">
      <c r="A522" s="13">
        <v>20180215</v>
      </c>
      <c r="B522" s="13" t="str">
        <f>"030001"</f>
        <v>030001</v>
      </c>
      <c r="C522" s="13" t="s">
        <v>27</v>
      </c>
      <c r="D522" s="14">
        <v>823.08</v>
      </c>
      <c r="E522" s="13" t="s">
        <v>403</v>
      </c>
    </row>
    <row r="523" spans="1:5" x14ac:dyDescent="0.25">
      <c r="A523" s="13">
        <v>20180215</v>
      </c>
      <c r="B523" s="13" t="str">
        <f>"030002"</f>
        <v>030002</v>
      </c>
      <c r="C523" s="13" t="s">
        <v>281</v>
      </c>
      <c r="D523" s="14">
        <v>72</v>
      </c>
      <c r="E523" s="13" t="s">
        <v>404</v>
      </c>
    </row>
    <row r="524" spans="1:5" x14ac:dyDescent="0.25">
      <c r="A524" s="13">
        <v>20180215</v>
      </c>
      <c r="B524" s="13" t="str">
        <f>"030003"</f>
        <v>030003</v>
      </c>
      <c r="C524" s="13" t="s">
        <v>157</v>
      </c>
      <c r="D524" s="14">
        <v>111.1</v>
      </c>
      <c r="E524" s="13" t="s">
        <v>158</v>
      </c>
    </row>
    <row r="525" spans="1:5" x14ac:dyDescent="0.25">
      <c r="A525" s="13">
        <v>20180215</v>
      </c>
      <c r="B525" s="13" t="str">
        <f>"030004"</f>
        <v>030004</v>
      </c>
      <c r="C525" s="13" t="s">
        <v>46</v>
      </c>
      <c r="D525" s="14">
        <v>490.68</v>
      </c>
      <c r="E525" s="13" t="s">
        <v>405</v>
      </c>
    </row>
    <row r="526" spans="1:5" x14ac:dyDescent="0.25">
      <c r="A526" s="13">
        <v>20180215</v>
      </c>
      <c r="B526" s="13" t="str">
        <f>"030005"</f>
        <v>030005</v>
      </c>
      <c r="C526" s="13" t="s">
        <v>50</v>
      </c>
      <c r="D526" s="14">
        <v>22</v>
      </c>
      <c r="E526" s="13" t="s">
        <v>406</v>
      </c>
    </row>
    <row r="527" spans="1:5" x14ac:dyDescent="0.25">
      <c r="A527" s="13">
        <v>20180215</v>
      </c>
      <c r="B527" s="13" t="str">
        <f>"030006"</f>
        <v>030006</v>
      </c>
      <c r="C527" s="13" t="s">
        <v>52</v>
      </c>
      <c r="D527" s="14">
        <v>105</v>
      </c>
      <c r="E527" s="13" t="s">
        <v>407</v>
      </c>
    </row>
    <row r="528" spans="1:5" x14ac:dyDescent="0.25">
      <c r="A528" s="13">
        <v>20180215</v>
      </c>
      <c r="B528" s="13" t="str">
        <f>"030007"</f>
        <v>030007</v>
      </c>
      <c r="C528" s="13" t="s">
        <v>335</v>
      </c>
      <c r="D528" s="14">
        <v>166.75</v>
      </c>
      <c r="E528" s="13" t="s">
        <v>408</v>
      </c>
    </row>
    <row r="529" spans="1:5" x14ac:dyDescent="0.25">
      <c r="A529" s="13">
        <v>20180215</v>
      </c>
      <c r="B529" s="13" t="str">
        <f>"030008"</f>
        <v>030008</v>
      </c>
      <c r="C529" s="13" t="s">
        <v>376</v>
      </c>
      <c r="D529" s="14">
        <v>427.18</v>
      </c>
      <c r="E529" s="13" t="s">
        <v>409</v>
      </c>
    </row>
    <row r="530" spans="1:5" x14ac:dyDescent="0.25">
      <c r="A530" s="13">
        <v>20180215</v>
      </c>
      <c r="B530" s="13" t="str">
        <f>"030009"</f>
        <v>030009</v>
      </c>
      <c r="C530" s="13" t="s">
        <v>213</v>
      </c>
      <c r="D530" s="14">
        <v>900</v>
      </c>
      <c r="E530" s="13" t="s">
        <v>410</v>
      </c>
    </row>
    <row r="531" spans="1:5" x14ac:dyDescent="0.25">
      <c r="A531" s="13">
        <v>20180215</v>
      </c>
      <c r="B531" s="13" t="str">
        <f>"030011"</f>
        <v>030011</v>
      </c>
      <c r="C531" s="13" t="s">
        <v>411</v>
      </c>
      <c r="D531" s="14">
        <v>25</v>
      </c>
      <c r="E531" s="13" t="s">
        <v>412</v>
      </c>
    </row>
    <row r="532" spans="1:5" x14ac:dyDescent="0.25">
      <c r="A532" s="13">
        <v>20180215</v>
      </c>
      <c r="B532" s="13" t="str">
        <f>"030012"</f>
        <v>030012</v>
      </c>
      <c r="C532" s="13" t="s">
        <v>4</v>
      </c>
      <c r="D532" s="14">
        <v>25.31</v>
      </c>
      <c r="E532" s="13" t="s">
        <v>413</v>
      </c>
    </row>
    <row r="533" spans="1:5" x14ac:dyDescent="0.25">
      <c r="A533" s="13">
        <v>20180215</v>
      </c>
      <c r="B533" s="13" t="str">
        <f>"030013"</f>
        <v>030013</v>
      </c>
      <c r="C533" s="13" t="s">
        <v>414</v>
      </c>
      <c r="D533" s="14">
        <v>7.5</v>
      </c>
      <c r="E533" s="13" t="s">
        <v>415</v>
      </c>
    </row>
    <row r="534" spans="1:5" x14ac:dyDescent="0.25">
      <c r="A534" s="13">
        <v>20180215</v>
      </c>
      <c r="B534" s="13" t="str">
        <f>"030014"</f>
        <v>030014</v>
      </c>
      <c r="C534" s="13" t="s">
        <v>224</v>
      </c>
      <c r="D534" s="14">
        <v>75</v>
      </c>
      <c r="E534" s="13" t="s">
        <v>288</v>
      </c>
    </row>
    <row r="535" spans="1:5" x14ac:dyDescent="0.25">
      <c r="A535" s="13">
        <v>20180215</v>
      </c>
      <c r="B535" s="13" t="str">
        <f>"030014"</f>
        <v>030014</v>
      </c>
      <c r="C535" s="13" t="s">
        <v>224</v>
      </c>
      <c r="D535" s="14">
        <v>99</v>
      </c>
      <c r="E535" s="13" t="s">
        <v>416</v>
      </c>
    </row>
    <row r="536" spans="1:5" x14ac:dyDescent="0.25">
      <c r="A536" s="13">
        <v>20180215</v>
      </c>
      <c r="B536" s="13" t="str">
        <f>"030015"</f>
        <v>030015</v>
      </c>
      <c r="C536" s="13" t="s">
        <v>417</v>
      </c>
      <c r="D536" s="14">
        <v>432.92</v>
      </c>
      <c r="E536" s="13" t="s">
        <v>418</v>
      </c>
    </row>
    <row r="537" spans="1:5" x14ac:dyDescent="0.25">
      <c r="A537" s="13">
        <v>20180215</v>
      </c>
      <c r="B537" s="13" t="str">
        <f>"030015"</f>
        <v>030015</v>
      </c>
      <c r="C537" s="13" t="s">
        <v>417</v>
      </c>
      <c r="D537" s="14">
        <v>432.92</v>
      </c>
      <c r="E537" s="13" t="s">
        <v>419</v>
      </c>
    </row>
    <row r="538" spans="1:5" x14ac:dyDescent="0.25">
      <c r="A538" s="13">
        <v>20180215</v>
      </c>
      <c r="B538" s="13" t="str">
        <f>"030017"</f>
        <v>030017</v>
      </c>
      <c r="C538" s="13" t="s">
        <v>133</v>
      </c>
      <c r="D538" s="14">
        <v>339.74</v>
      </c>
      <c r="E538" s="13" t="s">
        <v>134</v>
      </c>
    </row>
    <row r="539" spans="1:5" x14ac:dyDescent="0.25">
      <c r="A539" s="13">
        <v>20180215</v>
      </c>
      <c r="B539" s="13" t="str">
        <f t="shared" ref="B539:B544" si="8">"030018"</f>
        <v>030018</v>
      </c>
      <c r="C539" s="13" t="s">
        <v>2</v>
      </c>
      <c r="D539" s="14">
        <v>61.9</v>
      </c>
      <c r="E539" s="13" t="s">
        <v>420</v>
      </c>
    </row>
    <row r="540" spans="1:5" x14ac:dyDescent="0.25">
      <c r="A540" s="13">
        <v>20180215</v>
      </c>
      <c r="B540" s="13" t="str">
        <f t="shared" si="8"/>
        <v>030018</v>
      </c>
      <c r="C540" s="13" t="s">
        <v>2</v>
      </c>
      <c r="D540" s="14">
        <v>155.36000000000001</v>
      </c>
      <c r="E540" s="13" t="s">
        <v>382</v>
      </c>
    </row>
    <row r="541" spans="1:5" x14ac:dyDescent="0.25">
      <c r="A541" s="13">
        <v>20180215</v>
      </c>
      <c r="B541" s="13" t="str">
        <f t="shared" si="8"/>
        <v>030018</v>
      </c>
      <c r="C541" s="13" t="s">
        <v>2</v>
      </c>
      <c r="D541" s="14">
        <v>33.590000000000003</v>
      </c>
      <c r="E541" s="13" t="s">
        <v>421</v>
      </c>
    </row>
    <row r="542" spans="1:5" x14ac:dyDescent="0.25">
      <c r="A542" s="13">
        <v>20180215</v>
      </c>
      <c r="B542" s="13" t="str">
        <f t="shared" si="8"/>
        <v>030018</v>
      </c>
      <c r="C542" s="13" t="s">
        <v>2</v>
      </c>
      <c r="D542" s="14">
        <v>291.02999999999997</v>
      </c>
      <c r="E542" s="13" t="s">
        <v>422</v>
      </c>
    </row>
    <row r="543" spans="1:5" x14ac:dyDescent="0.25">
      <c r="A543" s="13">
        <v>20180215</v>
      </c>
      <c r="B543" s="13" t="str">
        <f t="shared" si="8"/>
        <v>030018</v>
      </c>
      <c r="C543" s="13" t="s">
        <v>2</v>
      </c>
      <c r="D543" s="14">
        <v>312.49</v>
      </c>
      <c r="E543" s="13" t="s">
        <v>423</v>
      </c>
    </row>
    <row r="544" spans="1:5" x14ac:dyDescent="0.25">
      <c r="A544" s="13">
        <v>20180215</v>
      </c>
      <c r="B544" s="13" t="str">
        <f t="shared" si="8"/>
        <v>030018</v>
      </c>
      <c r="C544" s="13" t="s">
        <v>2</v>
      </c>
      <c r="D544" s="14">
        <v>312.5</v>
      </c>
      <c r="E544" s="13" t="s">
        <v>423</v>
      </c>
    </row>
    <row r="545" spans="1:5" x14ac:dyDescent="0.25">
      <c r="A545" s="13">
        <v>20180215</v>
      </c>
      <c r="B545" s="13" t="str">
        <f>"030019"</f>
        <v>030019</v>
      </c>
      <c r="C545" s="13" t="s">
        <v>424</v>
      </c>
      <c r="D545" s="14">
        <v>48.56</v>
      </c>
      <c r="E545" s="13" t="s">
        <v>425</v>
      </c>
    </row>
    <row r="546" spans="1:5" x14ac:dyDescent="0.25">
      <c r="A546" s="13">
        <v>20180215</v>
      </c>
      <c r="B546" s="13" t="str">
        <f>"030019"</f>
        <v>030019</v>
      </c>
      <c r="C546" s="13" t="s">
        <v>424</v>
      </c>
      <c r="D546" s="14">
        <v>179.45</v>
      </c>
      <c r="E546" s="13" t="s">
        <v>425</v>
      </c>
    </row>
    <row r="547" spans="1:5" x14ac:dyDescent="0.25">
      <c r="A547" s="13">
        <v>20180215</v>
      </c>
      <c r="B547" s="13" t="str">
        <f>"030020"</f>
        <v>030020</v>
      </c>
      <c r="C547" s="13" t="s">
        <v>155</v>
      </c>
      <c r="D547" s="14">
        <v>199.21</v>
      </c>
      <c r="E547" s="13" t="s">
        <v>426</v>
      </c>
    </row>
    <row r="548" spans="1:5" x14ac:dyDescent="0.25">
      <c r="A548" s="13">
        <v>20180215</v>
      </c>
      <c r="B548" s="13" t="str">
        <f>"030021"</f>
        <v>030021</v>
      </c>
      <c r="C548" s="13" t="s">
        <v>60</v>
      </c>
      <c r="D548" s="14">
        <v>1484</v>
      </c>
      <c r="E548" s="13" t="s">
        <v>427</v>
      </c>
    </row>
    <row r="549" spans="1:5" x14ac:dyDescent="0.25">
      <c r="A549" s="13">
        <v>20180215</v>
      </c>
      <c r="B549" s="13" t="str">
        <f>"030021"</f>
        <v>030021</v>
      </c>
      <c r="C549" s="13" t="s">
        <v>60</v>
      </c>
      <c r="D549" s="14">
        <v>1334</v>
      </c>
      <c r="E549" s="13" t="s">
        <v>428</v>
      </c>
    </row>
    <row r="550" spans="1:5" x14ac:dyDescent="0.25">
      <c r="A550" s="13">
        <v>20180215</v>
      </c>
      <c r="B550" s="13" t="str">
        <f>"030022"</f>
        <v>030022</v>
      </c>
      <c r="C550" s="13" t="s">
        <v>429</v>
      </c>
      <c r="D550" s="14">
        <v>128</v>
      </c>
      <c r="E550" s="13" t="s">
        <v>430</v>
      </c>
    </row>
    <row r="551" spans="1:5" x14ac:dyDescent="0.25">
      <c r="A551" s="13">
        <v>20180215</v>
      </c>
      <c r="B551" s="13" t="str">
        <f>"030023"</f>
        <v>030023</v>
      </c>
      <c r="C551" s="13" t="s">
        <v>431</v>
      </c>
      <c r="D551" s="14">
        <v>132</v>
      </c>
      <c r="E551" s="13" t="s">
        <v>432</v>
      </c>
    </row>
    <row r="552" spans="1:5" x14ac:dyDescent="0.25">
      <c r="A552" s="13">
        <v>20180215</v>
      </c>
      <c r="B552" s="13" t="str">
        <f>"030023"</f>
        <v>030023</v>
      </c>
      <c r="C552" s="13" t="s">
        <v>431</v>
      </c>
      <c r="D552" s="14">
        <v>132</v>
      </c>
      <c r="E552" s="13" t="s">
        <v>433</v>
      </c>
    </row>
    <row r="553" spans="1:5" x14ac:dyDescent="0.25">
      <c r="A553" s="13">
        <v>20180215</v>
      </c>
      <c r="B553" s="13" t="str">
        <f>"030024"</f>
        <v>030024</v>
      </c>
      <c r="C553" s="13" t="s">
        <v>434</v>
      </c>
      <c r="D553" s="14">
        <v>135.72999999999999</v>
      </c>
      <c r="E553" s="13" t="s">
        <v>435</v>
      </c>
    </row>
    <row r="554" spans="1:5" x14ac:dyDescent="0.25">
      <c r="A554" s="13">
        <v>20180215</v>
      </c>
      <c r="B554" s="13" t="str">
        <f>"030024"</f>
        <v>030024</v>
      </c>
      <c r="C554" s="13" t="s">
        <v>434</v>
      </c>
      <c r="D554" s="14">
        <v>9.0299999999999994</v>
      </c>
      <c r="E554" s="13" t="s">
        <v>435</v>
      </c>
    </row>
    <row r="555" spans="1:5" x14ac:dyDescent="0.25">
      <c r="A555" s="13">
        <v>20180215</v>
      </c>
      <c r="B555" s="13" t="str">
        <f>"030026"</f>
        <v>030026</v>
      </c>
      <c r="C555" s="13" t="s">
        <v>436</v>
      </c>
      <c r="D555" s="14">
        <v>315</v>
      </c>
      <c r="E555" s="13" t="s">
        <v>437</v>
      </c>
    </row>
    <row r="556" spans="1:5" x14ac:dyDescent="0.25">
      <c r="A556" s="13">
        <v>20180215</v>
      </c>
      <c r="B556" s="13" t="str">
        <f>"030026"</f>
        <v>030026</v>
      </c>
      <c r="C556" s="13" t="s">
        <v>436</v>
      </c>
      <c r="D556" s="14">
        <v>375</v>
      </c>
      <c r="E556" s="13" t="s">
        <v>438</v>
      </c>
    </row>
    <row r="557" spans="1:5" x14ac:dyDescent="0.25">
      <c r="A557" s="13">
        <v>20180215</v>
      </c>
      <c r="B557" s="13" t="str">
        <f>"030026"</f>
        <v>030026</v>
      </c>
      <c r="C557" s="13" t="s">
        <v>436</v>
      </c>
      <c r="D557" s="14">
        <v>75</v>
      </c>
      <c r="E557" s="13" t="s">
        <v>438</v>
      </c>
    </row>
    <row r="558" spans="1:5" x14ac:dyDescent="0.25">
      <c r="A558" s="13">
        <v>20180215</v>
      </c>
      <c r="B558" s="13" t="str">
        <f>"030027"</f>
        <v>030027</v>
      </c>
      <c r="C558" s="13" t="s">
        <v>110</v>
      </c>
      <c r="D558" s="14">
        <v>800</v>
      </c>
      <c r="E558" s="13" t="s">
        <v>439</v>
      </c>
    </row>
    <row r="559" spans="1:5" x14ac:dyDescent="0.25">
      <c r="A559" s="13">
        <v>20180215</v>
      </c>
      <c r="B559" s="13" t="str">
        <f>"030028"</f>
        <v>030028</v>
      </c>
      <c r="C559" s="13" t="s">
        <v>274</v>
      </c>
      <c r="D559" s="14">
        <v>185</v>
      </c>
      <c r="E559" s="13" t="s">
        <v>440</v>
      </c>
    </row>
    <row r="560" spans="1:5" x14ac:dyDescent="0.25">
      <c r="A560" s="13">
        <v>20180215</v>
      </c>
      <c r="B560" s="13" t="str">
        <f>"030029"</f>
        <v>030029</v>
      </c>
      <c r="C560" s="13" t="s">
        <v>159</v>
      </c>
      <c r="D560" s="14">
        <v>201.3</v>
      </c>
      <c r="E560" s="13" t="s">
        <v>160</v>
      </c>
    </row>
    <row r="561" spans="1:5" x14ac:dyDescent="0.25">
      <c r="A561" s="13">
        <v>20180215</v>
      </c>
      <c r="B561" s="13" t="str">
        <f>"030030"</f>
        <v>030030</v>
      </c>
      <c r="C561" s="13" t="s">
        <v>441</v>
      </c>
      <c r="D561" s="14">
        <v>163.47999999999999</v>
      </c>
      <c r="E561" s="13" t="s">
        <v>408</v>
      </c>
    </row>
    <row r="562" spans="1:5" x14ac:dyDescent="0.25">
      <c r="A562" s="13">
        <v>20180215</v>
      </c>
      <c r="B562" s="13" t="str">
        <f>"030031"</f>
        <v>030031</v>
      </c>
      <c r="C562" s="13" t="s">
        <v>370</v>
      </c>
      <c r="D562" s="14">
        <v>70</v>
      </c>
      <c r="E562" s="13" t="s">
        <v>432</v>
      </c>
    </row>
    <row r="563" spans="1:5" x14ac:dyDescent="0.25">
      <c r="A563" s="13">
        <v>20180215</v>
      </c>
      <c r="B563" s="13" t="str">
        <f>"030032"</f>
        <v>030032</v>
      </c>
      <c r="C563" s="13" t="s">
        <v>235</v>
      </c>
      <c r="D563" s="14">
        <v>1850</v>
      </c>
      <c r="E563" s="13" t="s">
        <v>259</v>
      </c>
    </row>
    <row r="564" spans="1:5" x14ac:dyDescent="0.25">
      <c r="A564" s="13">
        <v>20180228</v>
      </c>
      <c r="B564" s="13" t="str">
        <f>"030050"</f>
        <v>030050</v>
      </c>
      <c r="C564" s="13" t="s">
        <v>27</v>
      </c>
      <c r="D564" s="14">
        <v>142.38999999999999</v>
      </c>
      <c r="E564" s="13" t="s">
        <v>442</v>
      </c>
    </row>
    <row r="565" spans="1:5" x14ac:dyDescent="0.25">
      <c r="A565" s="13">
        <v>20180228</v>
      </c>
      <c r="B565" s="13" t="str">
        <f>"030050"</f>
        <v>030050</v>
      </c>
      <c r="C565" s="13" t="s">
        <v>27</v>
      </c>
      <c r="D565" s="14">
        <v>892.04</v>
      </c>
      <c r="E565" s="13" t="s">
        <v>443</v>
      </c>
    </row>
    <row r="566" spans="1:5" x14ac:dyDescent="0.25">
      <c r="A566" s="13">
        <v>20180228</v>
      </c>
      <c r="B566" s="13" t="str">
        <f>"030051"</f>
        <v>030051</v>
      </c>
      <c r="C566" s="13" t="s">
        <v>281</v>
      </c>
      <c r="D566" s="14">
        <v>72</v>
      </c>
      <c r="E566" s="13" t="s">
        <v>404</v>
      </c>
    </row>
    <row r="567" spans="1:5" x14ac:dyDescent="0.25">
      <c r="A567" s="13">
        <v>20180228</v>
      </c>
      <c r="B567" s="13" t="str">
        <f>"030052"</f>
        <v>030052</v>
      </c>
      <c r="C567" s="13" t="s">
        <v>74</v>
      </c>
      <c r="D567" s="14">
        <v>11.92</v>
      </c>
      <c r="E567" s="13" t="s">
        <v>75</v>
      </c>
    </row>
    <row r="568" spans="1:5" x14ac:dyDescent="0.25">
      <c r="A568" s="13">
        <v>20180228</v>
      </c>
      <c r="B568" s="13" t="str">
        <f>"030053"</f>
        <v>030053</v>
      </c>
      <c r="C568" s="13" t="s">
        <v>52</v>
      </c>
      <c r="D568" s="14">
        <v>27.5</v>
      </c>
      <c r="E568" s="13" t="s">
        <v>444</v>
      </c>
    </row>
    <row r="569" spans="1:5" x14ac:dyDescent="0.25">
      <c r="A569" s="13">
        <v>20180228</v>
      </c>
      <c r="B569" s="13" t="str">
        <f>"030053"</f>
        <v>030053</v>
      </c>
      <c r="C569" s="13" t="s">
        <v>52</v>
      </c>
      <c r="D569" s="14">
        <v>40</v>
      </c>
      <c r="E569" s="13" t="s">
        <v>445</v>
      </c>
    </row>
    <row r="570" spans="1:5" x14ac:dyDescent="0.25">
      <c r="A570" s="13">
        <v>20180228</v>
      </c>
      <c r="B570" s="13" t="str">
        <f>"030054"</f>
        <v>030054</v>
      </c>
      <c r="C570" s="13" t="s">
        <v>76</v>
      </c>
      <c r="D570" s="14">
        <v>202.46</v>
      </c>
      <c r="E570" s="13" t="s">
        <v>77</v>
      </c>
    </row>
    <row r="571" spans="1:5" x14ac:dyDescent="0.25">
      <c r="A571" s="13">
        <v>20180228</v>
      </c>
      <c r="B571" s="13" t="str">
        <f>"030054"</f>
        <v>030054</v>
      </c>
      <c r="C571" s="13" t="s">
        <v>76</v>
      </c>
      <c r="D571" s="14">
        <v>213.94</v>
      </c>
      <c r="E571" s="13" t="s">
        <v>77</v>
      </c>
    </row>
    <row r="572" spans="1:5" x14ac:dyDescent="0.25">
      <c r="A572" s="13">
        <v>20180228</v>
      </c>
      <c r="B572" s="13" t="str">
        <f>"030054"</f>
        <v>030054</v>
      </c>
      <c r="C572" s="13" t="s">
        <v>76</v>
      </c>
      <c r="D572" s="14">
        <v>67.489999999999995</v>
      </c>
      <c r="E572" s="13" t="s">
        <v>77</v>
      </c>
    </row>
    <row r="573" spans="1:5" x14ac:dyDescent="0.25">
      <c r="A573" s="13">
        <v>20180228</v>
      </c>
      <c r="B573" s="13" t="str">
        <f>"030054"</f>
        <v>030054</v>
      </c>
      <c r="C573" s="13" t="s">
        <v>76</v>
      </c>
      <c r="D573" s="14">
        <v>67.489999999999995</v>
      </c>
      <c r="E573" s="13" t="s">
        <v>77</v>
      </c>
    </row>
    <row r="574" spans="1:5" x14ac:dyDescent="0.25">
      <c r="A574" s="13">
        <v>20180228</v>
      </c>
      <c r="B574" s="13" t="str">
        <f>"030055"</f>
        <v>030055</v>
      </c>
      <c r="C574" s="13" t="s">
        <v>80</v>
      </c>
      <c r="D574" s="14">
        <v>127.09</v>
      </c>
      <c r="E574" s="13" t="s">
        <v>81</v>
      </c>
    </row>
    <row r="575" spans="1:5" x14ac:dyDescent="0.25">
      <c r="A575" s="13">
        <v>20180228</v>
      </c>
      <c r="B575" s="13" t="str">
        <f>"030056"</f>
        <v>030056</v>
      </c>
      <c r="C575" s="13" t="s">
        <v>125</v>
      </c>
      <c r="D575" s="14">
        <v>127.3</v>
      </c>
      <c r="E575" s="13" t="s">
        <v>446</v>
      </c>
    </row>
    <row r="576" spans="1:5" x14ac:dyDescent="0.25">
      <c r="A576" s="13">
        <v>20180228</v>
      </c>
      <c r="B576" s="13" t="str">
        <f>"030056"</f>
        <v>030056</v>
      </c>
      <c r="C576" s="13" t="s">
        <v>125</v>
      </c>
      <c r="D576" s="14">
        <v>1018.4</v>
      </c>
      <c r="E576" s="13" t="s">
        <v>446</v>
      </c>
    </row>
    <row r="577" spans="1:5" x14ac:dyDescent="0.25">
      <c r="A577" s="13">
        <v>20180228</v>
      </c>
      <c r="B577" s="13" t="str">
        <f>"030057"</f>
        <v>030057</v>
      </c>
      <c r="C577" s="13" t="s">
        <v>447</v>
      </c>
      <c r="D577" s="14">
        <v>40</v>
      </c>
      <c r="E577" s="13" t="s">
        <v>448</v>
      </c>
    </row>
    <row r="578" spans="1:5" x14ac:dyDescent="0.25">
      <c r="A578" s="13">
        <v>20180228</v>
      </c>
      <c r="B578" s="13" t="str">
        <f>"030058"</f>
        <v>030058</v>
      </c>
      <c r="C578" s="13" t="s">
        <v>414</v>
      </c>
      <c r="D578" s="14">
        <v>7</v>
      </c>
      <c r="E578" s="13" t="s">
        <v>415</v>
      </c>
    </row>
    <row r="579" spans="1:5" x14ac:dyDescent="0.25">
      <c r="A579" s="13">
        <v>20180228</v>
      </c>
      <c r="B579" s="13" t="str">
        <f>"030060"</f>
        <v>030060</v>
      </c>
      <c r="C579" s="13" t="s">
        <v>99</v>
      </c>
      <c r="D579" s="14">
        <v>55.7</v>
      </c>
      <c r="E579" s="13" t="s">
        <v>449</v>
      </c>
    </row>
    <row r="580" spans="1:5" x14ac:dyDescent="0.25">
      <c r="A580" s="13">
        <v>20180228</v>
      </c>
      <c r="B580" s="13" t="str">
        <f>"030061"</f>
        <v>030061</v>
      </c>
      <c r="C580" s="13" t="s">
        <v>58</v>
      </c>
      <c r="D580" s="14">
        <v>87.38</v>
      </c>
      <c r="E580" s="13" t="s">
        <v>450</v>
      </c>
    </row>
    <row r="581" spans="1:5" x14ac:dyDescent="0.25">
      <c r="A581" s="13">
        <v>20180228</v>
      </c>
      <c r="B581" s="13" t="str">
        <f t="shared" ref="B581:B586" si="9">"030062"</f>
        <v>030062</v>
      </c>
      <c r="C581" s="13" t="s">
        <v>18</v>
      </c>
      <c r="D581" s="14">
        <v>29.7</v>
      </c>
      <c r="E581" s="13" t="s">
        <v>451</v>
      </c>
    </row>
    <row r="582" spans="1:5" x14ac:dyDescent="0.25">
      <c r="A582" s="13">
        <v>20180228</v>
      </c>
      <c r="B582" s="13" t="str">
        <f t="shared" si="9"/>
        <v>030062</v>
      </c>
      <c r="C582" s="13" t="s">
        <v>18</v>
      </c>
      <c r="D582" s="14">
        <v>120.41</v>
      </c>
      <c r="E582" s="13" t="s">
        <v>452</v>
      </c>
    </row>
    <row r="583" spans="1:5" x14ac:dyDescent="0.25">
      <c r="A583" s="13">
        <v>20180228</v>
      </c>
      <c r="B583" s="13" t="str">
        <f t="shared" si="9"/>
        <v>030062</v>
      </c>
      <c r="C583" s="13" t="s">
        <v>18</v>
      </c>
      <c r="D583" s="14">
        <v>8.5399999999999991</v>
      </c>
      <c r="E583" s="13" t="s">
        <v>452</v>
      </c>
    </row>
    <row r="584" spans="1:5" x14ac:dyDescent="0.25">
      <c r="A584" s="13">
        <v>20180228</v>
      </c>
      <c r="B584" s="13" t="str">
        <f t="shared" si="9"/>
        <v>030062</v>
      </c>
      <c r="C584" s="13" t="s">
        <v>18</v>
      </c>
      <c r="D584" s="14">
        <v>59.5</v>
      </c>
      <c r="E584" s="13" t="s">
        <v>452</v>
      </c>
    </row>
    <row r="585" spans="1:5" x14ac:dyDescent="0.25">
      <c r="A585" s="13">
        <v>20180228</v>
      </c>
      <c r="B585" s="13" t="str">
        <f t="shared" si="9"/>
        <v>030062</v>
      </c>
      <c r="C585" s="13" t="s">
        <v>18</v>
      </c>
      <c r="D585" s="14">
        <v>54.16</v>
      </c>
      <c r="E585" s="13" t="s">
        <v>452</v>
      </c>
    </row>
    <row r="586" spans="1:5" x14ac:dyDescent="0.25">
      <c r="A586" s="13">
        <v>20180228</v>
      </c>
      <c r="B586" s="13" t="str">
        <f t="shared" si="9"/>
        <v>030062</v>
      </c>
      <c r="C586" s="13" t="s">
        <v>18</v>
      </c>
      <c r="D586" s="14">
        <v>45.14</v>
      </c>
      <c r="E586" s="13" t="s">
        <v>452</v>
      </c>
    </row>
    <row r="587" spans="1:5" x14ac:dyDescent="0.25">
      <c r="A587" s="13">
        <v>20180228</v>
      </c>
      <c r="B587" s="13" t="str">
        <f>"030063"</f>
        <v>030063</v>
      </c>
      <c r="C587" s="13" t="s">
        <v>8</v>
      </c>
      <c r="D587" s="14">
        <v>500</v>
      </c>
      <c r="E587" s="13" t="s">
        <v>453</v>
      </c>
    </row>
    <row r="588" spans="1:5" x14ac:dyDescent="0.25">
      <c r="A588" s="13">
        <v>20180228</v>
      </c>
      <c r="B588" s="13" t="str">
        <f>"030064"</f>
        <v>030064</v>
      </c>
      <c r="C588" s="13" t="s">
        <v>434</v>
      </c>
      <c r="D588" s="14">
        <v>57.39</v>
      </c>
      <c r="E588" s="13" t="s">
        <v>454</v>
      </c>
    </row>
    <row r="589" spans="1:5" x14ac:dyDescent="0.25">
      <c r="A589" s="13">
        <v>20180228</v>
      </c>
      <c r="B589" s="13" t="str">
        <f>"030065"</f>
        <v>030065</v>
      </c>
      <c r="C589" s="13" t="s">
        <v>455</v>
      </c>
      <c r="D589" s="14">
        <v>80.2</v>
      </c>
      <c r="E589" s="13" t="s">
        <v>456</v>
      </c>
    </row>
    <row r="590" spans="1:5" x14ac:dyDescent="0.25">
      <c r="A590" s="13">
        <v>20180228</v>
      </c>
      <c r="B590" s="13" t="str">
        <f>"030066"</f>
        <v>030066</v>
      </c>
      <c r="C590" s="13" t="s">
        <v>235</v>
      </c>
      <c r="D590" s="14">
        <v>1665</v>
      </c>
      <c r="E590" s="13" t="s">
        <v>259</v>
      </c>
    </row>
    <row r="591" spans="1:5" x14ac:dyDescent="0.25">
      <c r="A591" s="13">
        <v>20180228</v>
      </c>
      <c r="B591" s="13" t="str">
        <f>"030066"</f>
        <v>030066</v>
      </c>
      <c r="C591" s="13" t="s">
        <v>235</v>
      </c>
      <c r="D591" s="14">
        <v>309.14</v>
      </c>
      <c r="E591" s="13" t="s">
        <v>259</v>
      </c>
    </row>
    <row r="592" spans="1:5" x14ac:dyDescent="0.25">
      <c r="C592" s="11" t="s">
        <v>785</v>
      </c>
      <c r="D592" s="12">
        <f>SUM(D521:D591)</f>
        <v>19698.09</v>
      </c>
    </row>
    <row r="593" spans="1:5" x14ac:dyDescent="0.25">
      <c r="A593" s="13">
        <v>20180309</v>
      </c>
      <c r="B593" s="13" t="str">
        <f>"030071"</f>
        <v>030071</v>
      </c>
      <c r="C593" s="13" t="s">
        <v>291</v>
      </c>
      <c r="D593" s="14">
        <v>487.83</v>
      </c>
      <c r="E593" s="13" t="s">
        <v>457</v>
      </c>
    </row>
    <row r="594" spans="1:5" x14ac:dyDescent="0.25">
      <c r="A594" s="13">
        <v>20180309</v>
      </c>
      <c r="B594" s="13" t="str">
        <f>"030072"</f>
        <v>030072</v>
      </c>
      <c r="C594" s="13" t="s">
        <v>144</v>
      </c>
      <c r="D594" s="14">
        <v>260</v>
      </c>
      <c r="E594" s="13" t="s">
        <v>458</v>
      </c>
    </row>
    <row r="595" spans="1:5" x14ac:dyDescent="0.25">
      <c r="A595" s="13">
        <v>20180309</v>
      </c>
      <c r="B595" s="13" t="str">
        <f>"030073"</f>
        <v>030073</v>
      </c>
      <c r="C595" s="13" t="s">
        <v>46</v>
      </c>
      <c r="D595" s="14">
        <v>606.59</v>
      </c>
      <c r="E595" s="13" t="s">
        <v>405</v>
      </c>
    </row>
    <row r="596" spans="1:5" x14ac:dyDescent="0.25">
      <c r="A596" s="13">
        <v>20180309</v>
      </c>
      <c r="B596" s="13" t="str">
        <f>"030074"</f>
        <v>030074</v>
      </c>
      <c r="C596" s="13" t="s">
        <v>162</v>
      </c>
      <c r="D596" s="14">
        <v>4200.53</v>
      </c>
      <c r="E596" s="13" t="s">
        <v>163</v>
      </c>
    </row>
    <row r="597" spans="1:5" x14ac:dyDescent="0.25">
      <c r="A597" s="13">
        <v>20180309</v>
      </c>
      <c r="B597" s="13" t="str">
        <f>"030075"</f>
        <v>030075</v>
      </c>
      <c r="C597" s="13" t="s">
        <v>459</v>
      </c>
      <c r="D597" s="14">
        <v>39</v>
      </c>
      <c r="E597" s="13" t="s">
        <v>460</v>
      </c>
    </row>
    <row r="598" spans="1:5" x14ac:dyDescent="0.25">
      <c r="A598" s="13">
        <v>20180309</v>
      </c>
      <c r="B598" s="13" t="str">
        <f>"030075"</f>
        <v>030075</v>
      </c>
      <c r="C598" s="13" t="s">
        <v>459</v>
      </c>
      <c r="D598" s="14">
        <v>38.82</v>
      </c>
      <c r="E598" s="13" t="s">
        <v>461</v>
      </c>
    </row>
    <row r="599" spans="1:5" x14ac:dyDescent="0.25">
      <c r="A599" s="13">
        <v>20180309</v>
      </c>
      <c r="B599" s="13" t="str">
        <f>"030076"</f>
        <v>030076</v>
      </c>
      <c r="C599" s="13" t="s">
        <v>125</v>
      </c>
      <c r="D599" s="14">
        <v>19.52</v>
      </c>
      <c r="E599" s="13" t="s">
        <v>462</v>
      </c>
    </row>
    <row r="600" spans="1:5" x14ac:dyDescent="0.25">
      <c r="A600" s="13">
        <v>20180309</v>
      </c>
      <c r="B600" s="13" t="str">
        <f>"030077"</f>
        <v>030077</v>
      </c>
      <c r="C600" s="13" t="s">
        <v>411</v>
      </c>
      <c r="D600" s="14">
        <v>113.85</v>
      </c>
      <c r="E600" s="13" t="s">
        <v>463</v>
      </c>
    </row>
    <row r="601" spans="1:5" x14ac:dyDescent="0.25">
      <c r="A601" s="13">
        <v>20180309</v>
      </c>
      <c r="B601" s="13" t="str">
        <f>"030078"</f>
        <v>030078</v>
      </c>
      <c r="C601" s="13" t="s">
        <v>447</v>
      </c>
      <c r="D601" s="14">
        <v>25</v>
      </c>
      <c r="E601" s="13" t="s">
        <v>464</v>
      </c>
    </row>
    <row r="602" spans="1:5" x14ac:dyDescent="0.25">
      <c r="A602" s="13">
        <v>20180309</v>
      </c>
      <c r="B602" s="13" t="str">
        <f>"030079"</f>
        <v>030079</v>
      </c>
      <c r="C602" s="13" t="s">
        <v>4</v>
      </c>
      <c r="D602" s="14">
        <v>25.85</v>
      </c>
      <c r="E602" s="13" t="s">
        <v>465</v>
      </c>
    </row>
    <row r="603" spans="1:5" x14ac:dyDescent="0.25">
      <c r="A603" s="13">
        <v>20180309</v>
      </c>
      <c r="B603" s="13" t="str">
        <f>"030079"</f>
        <v>030079</v>
      </c>
      <c r="C603" s="13" t="s">
        <v>4</v>
      </c>
      <c r="D603" s="14">
        <v>21.16</v>
      </c>
      <c r="E603" s="13" t="s">
        <v>466</v>
      </c>
    </row>
    <row r="604" spans="1:5" x14ac:dyDescent="0.25">
      <c r="A604" s="13">
        <v>20180309</v>
      </c>
      <c r="B604" s="13" t="str">
        <f>"030079"</f>
        <v>030079</v>
      </c>
      <c r="C604" s="13" t="s">
        <v>4</v>
      </c>
      <c r="D604" s="14">
        <v>49.19</v>
      </c>
      <c r="E604" s="13" t="s">
        <v>413</v>
      </c>
    </row>
    <row r="605" spans="1:5" x14ac:dyDescent="0.25">
      <c r="A605" s="13">
        <v>20180309</v>
      </c>
      <c r="B605" s="13" t="str">
        <f>"030079"</f>
        <v>030079</v>
      </c>
      <c r="C605" s="13" t="s">
        <v>4</v>
      </c>
      <c r="D605" s="14">
        <v>83.92</v>
      </c>
      <c r="E605" s="13" t="s">
        <v>467</v>
      </c>
    </row>
    <row r="606" spans="1:5" x14ac:dyDescent="0.25">
      <c r="A606" s="13">
        <v>20180309</v>
      </c>
      <c r="B606" s="13" t="str">
        <f>"030080"</f>
        <v>030080</v>
      </c>
      <c r="C606" s="13" t="s">
        <v>468</v>
      </c>
      <c r="D606" s="14">
        <v>30.35</v>
      </c>
      <c r="E606" s="13" t="s">
        <v>469</v>
      </c>
    </row>
    <row r="607" spans="1:5" x14ac:dyDescent="0.25">
      <c r="A607" s="13">
        <v>20180309</v>
      </c>
      <c r="B607" s="13" t="str">
        <f>"030081"</f>
        <v>030081</v>
      </c>
      <c r="C607" s="13" t="s">
        <v>470</v>
      </c>
      <c r="D607" s="14">
        <v>42</v>
      </c>
      <c r="E607" s="13" t="s">
        <v>471</v>
      </c>
    </row>
    <row r="608" spans="1:5" x14ac:dyDescent="0.25">
      <c r="A608" s="13">
        <v>20180309</v>
      </c>
      <c r="B608" s="13" t="str">
        <f>"030081"</f>
        <v>030081</v>
      </c>
      <c r="C608" s="13" t="s">
        <v>470</v>
      </c>
      <c r="D608" s="14">
        <v>40</v>
      </c>
      <c r="E608" s="13" t="s">
        <v>472</v>
      </c>
    </row>
    <row r="609" spans="1:5" x14ac:dyDescent="0.25">
      <c r="A609" s="13">
        <v>20180309</v>
      </c>
      <c r="B609" s="13" t="str">
        <f>"030081"</f>
        <v>030081</v>
      </c>
      <c r="C609" s="13" t="s">
        <v>470</v>
      </c>
      <c r="D609" s="14">
        <v>60</v>
      </c>
      <c r="E609" s="13" t="s">
        <v>473</v>
      </c>
    </row>
    <row r="610" spans="1:5" x14ac:dyDescent="0.25">
      <c r="A610" s="13">
        <v>20180309</v>
      </c>
      <c r="B610" s="13" t="str">
        <f>"030082"</f>
        <v>030082</v>
      </c>
      <c r="C610" s="13" t="s">
        <v>474</v>
      </c>
      <c r="D610" s="14">
        <v>11.88</v>
      </c>
      <c r="E610" s="13" t="s">
        <v>475</v>
      </c>
    </row>
    <row r="611" spans="1:5" x14ac:dyDescent="0.25">
      <c r="A611" s="13">
        <v>20180309</v>
      </c>
      <c r="B611" s="13" t="str">
        <f>"030083"</f>
        <v>030083</v>
      </c>
      <c r="C611" s="13" t="s">
        <v>224</v>
      </c>
      <c r="D611" s="14">
        <v>323</v>
      </c>
      <c r="E611" s="13" t="s">
        <v>476</v>
      </c>
    </row>
    <row r="612" spans="1:5" x14ac:dyDescent="0.25">
      <c r="A612" s="13">
        <v>20180309</v>
      </c>
      <c r="B612" s="13" t="str">
        <f>"030085"</f>
        <v>030085</v>
      </c>
      <c r="C612" s="13" t="s">
        <v>133</v>
      </c>
      <c r="D612" s="14">
        <v>329.08</v>
      </c>
      <c r="E612" s="13" t="s">
        <v>134</v>
      </c>
    </row>
    <row r="613" spans="1:5" x14ac:dyDescent="0.25">
      <c r="A613" s="13">
        <v>20180309</v>
      </c>
      <c r="B613" s="13" t="str">
        <f>"030086"</f>
        <v>030086</v>
      </c>
      <c r="C613" s="13" t="s">
        <v>2</v>
      </c>
      <c r="D613" s="14">
        <v>115.83</v>
      </c>
      <c r="E613" s="13" t="s">
        <v>477</v>
      </c>
    </row>
    <row r="614" spans="1:5" x14ac:dyDescent="0.25">
      <c r="A614" s="13">
        <v>20180309</v>
      </c>
      <c r="B614" s="13" t="str">
        <f>"030086"</f>
        <v>030086</v>
      </c>
      <c r="C614" s="13" t="s">
        <v>2</v>
      </c>
      <c r="D614" s="14">
        <v>5.68</v>
      </c>
      <c r="E614" s="13" t="s">
        <v>478</v>
      </c>
    </row>
    <row r="615" spans="1:5" x14ac:dyDescent="0.25">
      <c r="A615" s="13">
        <v>20180309</v>
      </c>
      <c r="B615" s="13" t="str">
        <f>"030086"</f>
        <v>030086</v>
      </c>
      <c r="C615" s="13" t="s">
        <v>2</v>
      </c>
      <c r="D615" s="14">
        <v>73.39</v>
      </c>
      <c r="E615" s="13" t="s">
        <v>479</v>
      </c>
    </row>
    <row r="616" spans="1:5" x14ac:dyDescent="0.25">
      <c r="A616" s="13">
        <v>20180309</v>
      </c>
      <c r="B616" s="13" t="str">
        <f>"030086"</f>
        <v>030086</v>
      </c>
      <c r="C616" s="13" t="s">
        <v>2</v>
      </c>
      <c r="D616" s="14">
        <v>199.02</v>
      </c>
      <c r="E616" s="13" t="s">
        <v>480</v>
      </c>
    </row>
    <row r="617" spans="1:5" x14ac:dyDescent="0.25">
      <c r="A617" s="13">
        <v>20180309</v>
      </c>
      <c r="B617" s="13" t="str">
        <f>"030087"</f>
        <v>030087</v>
      </c>
      <c r="C617" s="13" t="s">
        <v>42</v>
      </c>
      <c r="D617" s="14">
        <v>74.95</v>
      </c>
      <c r="E617" s="13" t="s">
        <v>481</v>
      </c>
    </row>
    <row r="618" spans="1:5" x14ac:dyDescent="0.25">
      <c r="A618" s="13">
        <v>20180309</v>
      </c>
      <c r="B618" s="13" t="str">
        <f>"030088"</f>
        <v>030088</v>
      </c>
      <c r="C618" s="13" t="s">
        <v>8</v>
      </c>
      <c r="D618" s="14">
        <v>800</v>
      </c>
      <c r="E618" s="13" t="s">
        <v>482</v>
      </c>
    </row>
    <row r="619" spans="1:5" x14ac:dyDescent="0.25">
      <c r="A619" s="13">
        <v>20180309</v>
      </c>
      <c r="B619" s="13" t="str">
        <f>"030088"</f>
        <v>030088</v>
      </c>
      <c r="C619" s="13" t="s">
        <v>8</v>
      </c>
      <c r="D619" s="14">
        <v>25</v>
      </c>
      <c r="E619" s="13" t="s">
        <v>483</v>
      </c>
    </row>
    <row r="620" spans="1:5" x14ac:dyDescent="0.25">
      <c r="A620" s="13">
        <v>20180309</v>
      </c>
      <c r="B620" s="13" t="str">
        <f>"030088"</f>
        <v>030088</v>
      </c>
      <c r="C620" s="13" t="s">
        <v>8</v>
      </c>
      <c r="D620" s="14">
        <v>25</v>
      </c>
      <c r="E620" s="13" t="s">
        <v>484</v>
      </c>
    </row>
    <row r="621" spans="1:5" x14ac:dyDescent="0.25">
      <c r="A621" s="13">
        <v>20180309</v>
      </c>
      <c r="B621" s="13" t="str">
        <f>"030088"</f>
        <v>030088</v>
      </c>
      <c r="C621" s="13" t="s">
        <v>8</v>
      </c>
      <c r="D621" s="14">
        <v>945</v>
      </c>
      <c r="E621" s="13" t="s">
        <v>485</v>
      </c>
    </row>
    <row r="622" spans="1:5" x14ac:dyDescent="0.25">
      <c r="A622" s="13">
        <v>20180309</v>
      </c>
      <c r="B622" s="13" t="str">
        <f>"030089"</f>
        <v>030089</v>
      </c>
      <c r="C622" s="13" t="s">
        <v>486</v>
      </c>
      <c r="D622" s="14">
        <v>858.11</v>
      </c>
      <c r="E622" s="13" t="s">
        <v>487</v>
      </c>
    </row>
    <row r="623" spans="1:5" x14ac:dyDescent="0.25">
      <c r="A623" s="13">
        <v>20180309</v>
      </c>
      <c r="B623" s="13" t="str">
        <f>"030091"</f>
        <v>030091</v>
      </c>
      <c r="C623" s="13" t="s">
        <v>271</v>
      </c>
      <c r="D623" s="14">
        <v>32.75</v>
      </c>
      <c r="E623" s="13" t="s">
        <v>488</v>
      </c>
    </row>
    <row r="624" spans="1:5" x14ac:dyDescent="0.25">
      <c r="A624" s="13">
        <v>20180309</v>
      </c>
      <c r="B624" s="13" t="str">
        <f>"030092"</f>
        <v>030092</v>
      </c>
      <c r="C624" s="13" t="s">
        <v>489</v>
      </c>
      <c r="D624" s="14">
        <v>50</v>
      </c>
      <c r="E624" s="13" t="s">
        <v>490</v>
      </c>
    </row>
    <row r="625" spans="1:5" x14ac:dyDescent="0.25">
      <c r="A625" s="13">
        <v>20180309</v>
      </c>
      <c r="B625" s="13" t="str">
        <f>"030093"</f>
        <v>030093</v>
      </c>
      <c r="C625" s="13" t="s">
        <v>276</v>
      </c>
      <c r="D625" s="14">
        <v>30</v>
      </c>
      <c r="E625" s="13" t="s">
        <v>491</v>
      </c>
    </row>
    <row r="626" spans="1:5" x14ac:dyDescent="0.25">
      <c r="A626" s="13">
        <v>20180309</v>
      </c>
      <c r="B626" s="13" t="str">
        <f>"030093"</f>
        <v>030093</v>
      </c>
      <c r="C626" s="13" t="s">
        <v>276</v>
      </c>
      <c r="D626" s="14">
        <v>10</v>
      </c>
      <c r="E626" s="13" t="s">
        <v>492</v>
      </c>
    </row>
    <row r="627" spans="1:5" x14ac:dyDescent="0.25">
      <c r="A627" s="13">
        <v>20180309</v>
      </c>
      <c r="B627" s="13" t="str">
        <f>"030094"</f>
        <v>030094</v>
      </c>
      <c r="C627" s="13" t="s">
        <v>276</v>
      </c>
      <c r="D627" s="14">
        <v>72</v>
      </c>
      <c r="E627" s="13" t="s">
        <v>493</v>
      </c>
    </row>
    <row r="628" spans="1:5" x14ac:dyDescent="0.25">
      <c r="A628" s="13">
        <v>20180309</v>
      </c>
      <c r="B628" s="13" t="str">
        <f>"030095"</f>
        <v>030095</v>
      </c>
      <c r="C628" s="13" t="s">
        <v>494</v>
      </c>
      <c r="D628" s="14">
        <v>210</v>
      </c>
      <c r="E628" s="13" t="s">
        <v>495</v>
      </c>
    </row>
    <row r="629" spans="1:5" x14ac:dyDescent="0.25">
      <c r="A629" s="13">
        <v>20180309</v>
      </c>
      <c r="B629" s="13" t="str">
        <f>"030096"</f>
        <v>030096</v>
      </c>
      <c r="C629" s="13" t="s">
        <v>496</v>
      </c>
      <c r="D629" s="14">
        <v>925</v>
      </c>
      <c r="E629" s="13" t="s">
        <v>497</v>
      </c>
    </row>
    <row r="630" spans="1:5" x14ac:dyDescent="0.25">
      <c r="A630" s="13">
        <v>20180309</v>
      </c>
      <c r="B630" s="13" t="str">
        <f>"030097"</f>
        <v>030097</v>
      </c>
      <c r="C630" s="13" t="s">
        <v>114</v>
      </c>
      <c r="D630" s="14">
        <v>400</v>
      </c>
      <c r="E630" s="13" t="s">
        <v>498</v>
      </c>
    </row>
    <row r="631" spans="1:5" x14ac:dyDescent="0.25">
      <c r="A631" s="13">
        <v>20180322</v>
      </c>
      <c r="B631" s="13" t="str">
        <f>"030101"</f>
        <v>030101</v>
      </c>
      <c r="C631" s="13" t="s">
        <v>27</v>
      </c>
      <c r="D631" s="14">
        <v>799.99</v>
      </c>
      <c r="E631" s="13" t="s">
        <v>499</v>
      </c>
    </row>
    <row r="632" spans="1:5" x14ac:dyDescent="0.25">
      <c r="A632" s="13">
        <v>20180322</v>
      </c>
      <c r="B632" s="13" t="str">
        <f>"030102"</f>
        <v>030102</v>
      </c>
      <c r="C632" s="13" t="s">
        <v>373</v>
      </c>
      <c r="D632" s="14">
        <v>2</v>
      </c>
      <c r="E632" s="13" t="s">
        <v>500</v>
      </c>
    </row>
    <row r="633" spans="1:5" x14ac:dyDescent="0.25">
      <c r="A633" s="13">
        <v>20180322</v>
      </c>
      <c r="B633" s="13" t="str">
        <f>"030103"</f>
        <v>030103</v>
      </c>
      <c r="C633" s="13" t="s">
        <v>157</v>
      </c>
      <c r="D633" s="14">
        <v>111.1</v>
      </c>
      <c r="E633" s="13" t="s">
        <v>158</v>
      </c>
    </row>
    <row r="634" spans="1:5" x14ac:dyDescent="0.25">
      <c r="A634" s="13">
        <v>20180322</v>
      </c>
      <c r="B634" s="13" t="str">
        <f>"030104"</f>
        <v>030104</v>
      </c>
      <c r="C634" s="13" t="s">
        <v>164</v>
      </c>
      <c r="D634" s="14">
        <v>9066.59</v>
      </c>
      <c r="E634" s="13" t="s">
        <v>165</v>
      </c>
    </row>
    <row r="635" spans="1:5" x14ac:dyDescent="0.25">
      <c r="A635" s="13">
        <v>20180322</v>
      </c>
      <c r="B635" s="13" t="str">
        <f>"030105"</f>
        <v>030105</v>
      </c>
      <c r="C635" s="13" t="s">
        <v>76</v>
      </c>
      <c r="D635" s="14">
        <v>202.46</v>
      </c>
      <c r="E635" s="13" t="s">
        <v>77</v>
      </c>
    </row>
    <row r="636" spans="1:5" x14ac:dyDescent="0.25">
      <c r="A636" s="13">
        <v>20180322</v>
      </c>
      <c r="B636" s="13" t="str">
        <f>"030105"</f>
        <v>030105</v>
      </c>
      <c r="C636" s="13" t="s">
        <v>76</v>
      </c>
      <c r="D636" s="14">
        <v>213.94</v>
      </c>
      <c r="E636" s="13" t="s">
        <v>77</v>
      </c>
    </row>
    <row r="637" spans="1:5" x14ac:dyDescent="0.25">
      <c r="A637" s="13">
        <v>20180322</v>
      </c>
      <c r="B637" s="13" t="str">
        <f>"030105"</f>
        <v>030105</v>
      </c>
      <c r="C637" s="13" t="s">
        <v>76</v>
      </c>
      <c r="D637" s="14">
        <v>67.489999999999995</v>
      </c>
      <c r="E637" s="13" t="s">
        <v>77</v>
      </c>
    </row>
    <row r="638" spans="1:5" x14ac:dyDescent="0.25">
      <c r="A638" s="13">
        <v>20180322</v>
      </c>
      <c r="B638" s="13" t="str">
        <f>"030105"</f>
        <v>030105</v>
      </c>
      <c r="C638" s="13" t="s">
        <v>76</v>
      </c>
      <c r="D638" s="14">
        <v>67.489999999999995</v>
      </c>
      <c r="E638" s="13" t="s">
        <v>77</v>
      </c>
    </row>
    <row r="639" spans="1:5" x14ac:dyDescent="0.25">
      <c r="A639" s="13">
        <v>20180322</v>
      </c>
      <c r="B639" s="13" t="str">
        <f>"030106"</f>
        <v>030106</v>
      </c>
      <c r="C639" s="13" t="s">
        <v>80</v>
      </c>
      <c r="D639" s="14">
        <v>127.09</v>
      </c>
      <c r="E639" s="13" t="s">
        <v>81</v>
      </c>
    </row>
    <row r="640" spans="1:5" x14ac:dyDescent="0.25">
      <c r="A640" s="13">
        <v>20180322</v>
      </c>
      <c r="B640" s="13" t="str">
        <f>"030107"</f>
        <v>030107</v>
      </c>
      <c r="C640" s="13" t="s">
        <v>266</v>
      </c>
      <c r="D640" s="14">
        <v>32</v>
      </c>
      <c r="E640" s="13" t="s">
        <v>501</v>
      </c>
    </row>
    <row r="641" spans="1:5" x14ac:dyDescent="0.25">
      <c r="A641" s="13">
        <v>20180322</v>
      </c>
      <c r="B641" s="13" t="str">
        <f>"030108"</f>
        <v>030108</v>
      </c>
      <c r="C641" s="13" t="s">
        <v>470</v>
      </c>
      <c r="D641" s="14">
        <v>35</v>
      </c>
      <c r="E641" s="13" t="s">
        <v>461</v>
      </c>
    </row>
    <row r="642" spans="1:5" x14ac:dyDescent="0.25">
      <c r="A642" s="13">
        <v>20180322</v>
      </c>
      <c r="B642" s="13" t="str">
        <f>"030109"</f>
        <v>030109</v>
      </c>
      <c r="C642" s="13" t="s">
        <v>379</v>
      </c>
      <c r="D642" s="14">
        <v>81</v>
      </c>
      <c r="E642" s="13" t="s">
        <v>502</v>
      </c>
    </row>
    <row r="643" spans="1:5" x14ac:dyDescent="0.25">
      <c r="A643" s="13">
        <v>20180322</v>
      </c>
      <c r="B643" s="13" t="str">
        <f t="shared" ref="B643:B650" si="10">"030111"</f>
        <v>030111</v>
      </c>
      <c r="C643" s="13" t="s">
        <v>2</v>
      </c>
      <c r="D643" s="14">
        <v>41.42</v>
      </c>
      <c r="E643" s="13" t="s">
        <v>503</v>
      </c>
    </row>
    <row r="644" spans="1:5" x14ac:dyDescent="0.25">
      <c r="A644" s="13">
        <v>20180322</v>
      </c>
      <c r="B644" s="13" t="str">
        <f t="shared" si="10"/>
        <v>030111</v>
      </c>
      <c r="C644" s="13" t="s">
        <v>2</v>
      </c>
      <c r="D644" s="14">
        <v>138.91999999999999</v>
      </c>
      <c r="E644" s="13" t="s">
        <v>504</v>
      </c>
    </row>
    <row r="645" spans="1:5" x14ac:dyDescent="0.25">
      <c r="A645" s="13">
        <v>20180322</v>
      </c>
      <c r="B645" s="13" t="str">
        <f t="shared" si="10"/>
        <v>030111</v>
      </c>
      <c r="C645" s="13" t="s">
        <v>2</v>
      </c>
      <c r="D645" s="14">
        <v>31.05</v>
      </c>
      <c r="E645" s="13" t="s">
        <v>505</v>
      </c>
    </row>
    <row r="646" spans="1:5" x14ac:dyDescent="0.25">
      <c r="A646" s="13">
        <v>20180322</v>
      </c>
      <c r="B646" s="13" t="str">
        <f t="shared" si="10"/>
        <v>030111</v>
      </c>
      <c r="C646" s="13" t="s">
        <v>2</v>
      </c>
      <c r="D646" s="14">
        <v>73.959999999999994</v>
      </c>
      <c r="E646" s="13" t="s">
        <v>506</v>
      </c>
    </row>
    <row r="647" spans="1:5" x14ac:dyDescent="0.25">
      <c r="A647" s="13">
        <v>20180322</v>
      </c>
      <c r="B647" s="13" t="str">
        <f t="shared" si="10"/>
        <v>030111</v>
      </c>
      <c r="C647" s="13" t="s">
        <v>2</v>
      </c>
      <c r="D647" s="14">
        <v>49.58</v>
      </c>
      <c r="E647" s="13" t="s">
        <v>506</v>
      </c>
    </row>
    <row r="648" spans="1:5" x14ac:dyDescent="0.25">
      <c r="A648" s="13">
        <v>20180322</v>
      </c>
      <c r="B648" s="13" t="str">
        <f t="shared" si="10"/>
        <v>030111</v>
      </c>
      <c r="C648" s="13" t="s">
        <v>2</v>
      </c>
      <c r="D648" s="14">
        <v>80</v>
      </c>
      <c r="E648" s="13" t="s">
        <v>507</v>
      </c>
    </row>
    <row r="649" spans="1:5" x14ac:dyDescent="0.25">
      <c r="A649" s="13">
        <v>20180322</v>
      </c>
      <c r="B649" s="13" t="str">
        <f t="shared" si="10"/>
        <v>030111</v>
      </c>
      <c r="C649" s="13" t="s">
        <v>2</v>
      </c>
      <c r="D649" s="14">
        <v>250</v>
      </c>
      <c r="E649" s="13" t="s">
        <v>508</v>
      </c>
    </row>
    <row r="650" spans="1:5" x14ac:dyDescent="0.25">
      <c r="A650" s="13">
        <v>20180322</v>
      </c>
      <c r="B650" s="13" t="str">
        <f t="shared" si="10"/>
        <v>030111</v>
      </c>
      <c r="C650" s="13" t="s">
        <v>2</v>
      </c>
      <c r="D650" s="14">
        <v>155</v>
      </c>
      <c r="E650" s="13" t="s">
        <v>509</v>
      </c>
    </row>
    <row r="651" spans="1:5" x14ac:dyDescent="0.25">
      <c r="A651" s="13">
        <v>20180322</v>
      </c>
      <c r="B651" s="13" t="str">
        <f>"030112"</f>
        <v>030112</v>
      </c>
      <c r="C651" s="13" t="s">
        <v>135</v>
      </c>
      <c r="D651" s="14">
        <v>73.84</v>
      </c>
      <c r="E651" s="13" t="s">
        <v>510</v>
      </c>
    </row>
    <row r="652" spans="1:5" x14ac:dyDescent="0.25">
      <c r="A652" s="13">
        <v>20180322</v>
      </c>
      <c r="B652" s="13" t="str">
        <f>"030113"</f>
        <v>030113</v>
      </c>
      <c r="C652" s="13" t="s">
        <v>511</v>
      </c>
      <c r="D652" s="14">
        <v>100</v>
      </c>
      <c r="E652" s="13" t="s">
        <v>512</v>
      </c>
    </row>
    <row r="653" spans="1:5" x14ac:dyDescent="0.25">
      <c r="A653" s="13">
        <v>20180322</v>
      </c>
      <c r="B653" s="13" t="str">
        <f>"030114"</f>
        <v>030114</v>
      </c>
      <c r="C653" s="13" t="s">
        <v>18</v>
      </c>
      <c r="D653" s="14">
        <v>666.93</v>
      </c>
      <c r="E653" s="13" t="s">
        <v>513</v>
      </c>
    </row>
    <row r="654" spans="1:5" x14ac:dyDescent="0.25">
      <c r="A654" s="13">
        <v>20180322</v>
      </c>
      <c r="B654" s="13" t="str">
        <f>"030114"</f>
        <v>030114</v>
      </c>
      <c r="C654" s="13" t="s">
        <v>18</v>
      </c>
      <c r="D654" s="14">
        <v>64.47</v>
      </c>
      <c r="E654" s="13" t="s">
        <v>364</v>
      </c>
    </row>
    <row r="655" spans="1:5" x14ac:dyDescent="0.25">
      <c r="A655" s="13">
        <v>20180322</v>
      </c>
      <c r="B655" s="13" t="str">
        <f>"030114"</f>
        <v>030114</v>
      </c>
      <c r="C655" s="13" t="s">
        <v>18</v>
      </c>
      <c r="D655" s="14">
        <v>47.94</v>
      </c>
      <c r="E655" s="13" t="s">
        <v>514</v>
      </c>
    </row>
    <row r="656" spans="1:5" x14ac:dyDescent="0.25">
      <c r="A656" s="13">
        <v>20180322</v>
      </c>
      <c r="B656" s="13" t="str">
        <f>"030114"</f>
        <v>030114</v>
      </c>
      <c r="C656" s="13" t="s">
        <v>18</v>
      </c>
      <c r="D656" s="14">
        <v>14.96</v>
      </c>
      <c r="E656" s="13" t="s">
        <v>515</v>
      </c>
    </row>
    <row r="657" spans="1:5" x14ac:dyDescent="0.25">
      <c r="A657" s="13">
        <v>20180322</v>
      </c>
      <c r="B657" s="13" t="str">
        <f>"030115"</f>
        <v>030115</v>
      </c>
      <c r="C657" s="13" t="s">
        <v>400</v>
      </c>
      <c r="D657" s="14">
        <v>96</v>
      </c>
      <c r="E657" s="13" t="s">
        <v>375</v>
      </c>
    </row>
    <row r="658" spans="1:5" x14ac:dyDescent="0.25">
      <c r="A658" s="13">
        <v>20180322</v>
      </c>
      <c r="B658" s="13" t="str">
        <f>"030116"</f>
        <v>030116</v>
      </c>
      <c r="C658" s="13" t="s">
        <v>110</v>
      </c>
      <c r="D658" s="14">
        <v>140</v>
      </c>
      <c r="E658" s="13" t="s">
        <v>273</v>
      </c>
    </row>
    <row r="659" spans="1:5" x14ac:dyDescent="0.25">
      <c r="A659" s="13">
        <v>20180322</v>
      </c>
      <c r="B659" s="13" t="str">
        <f>"030117"</f>
        <v>030117</v>
      </c>
      <c r="C659" s="13" t="s">
        <v>159</v>
      </c>
      <c r="D659" s="14">
        <v>203.13</v>
      </c>
      <c r="E659" s="13" t="s">
        <v>160</v>
      </c>
    </row>
    <row r="660" spans="1:5" x14ac:dyDescent="0.25">
      <c r="A660" s="13">
        <v>20180322</v>
      </c>
      <c r="B660" s="13" t="str">
        <f>"030119"</f>
        <v>030119</v>
      </c>
      <c r="C660" s="13" t="s">
        <v>235</v>
      </c>
      <c r="D660" s="14">
        <v>1075.2</v>
      </c>
      <c r="E660" s="13" t="s">
        <v>236</v>
      </c>
    </row>
    <row r="661" spans="1:5" x14ac:dyDescent="0.25">
      <c r="A661" s="13">
        <v>20180328</v>
      </c>
      <c r="B661" s="13" t="str">
        <f>"030120"</f>
        <v>030120</v>
      </c>
      <c r="C661" s="13" t="s">
        <v>516</v>
      </c>
      <c r="D661" s="14">
        <v>60</v>
      </c>
      <c r="E661" s="13" t="s">
        <v>517</v>
      </c>
    </row>
    <row r="662" spans="1:5" x14ac:dyDescent="0.25">
      <c r="A662" s="13">
        <v>20180328</v>
      </c>
      <c r="B662" s="13" t="str">
        <f>"030120"</f>
        <v>030120</v>
      </c>
      <c r="C662" s="13" t="s">
        <v>516</v>
      </c>
      <c r="D662" s="14">
        <v>60</v>
      </c>
      <c r="E662" s="13" t="s">
        <v>492</v>
      </c>
    </row>
    <row r="663" spans="1:5" x14ac:dyDescent="0.25">
      <c r="A663" s="13">
        <v>20180328</v>
      </c>
      <c r="B663" s="13" t="str">
        <f>"030121"</f>
        <v>030121</v>
      </c>
      <c r="C663" s="13" t="s">
        <v>74</v>
      </c>
      <c r="D663" s="14">
        <v>11.92</v>
      </c>
      <c r="E663" s="13" t="s">
        <v>75</v>
      </c>
    </row>
    <row r="664" spans="1:5" x14ac:dyDescent="0.25">
      <c r="A664" s="13">
        <v>20180328</v>
      </c>
      <c r="B664" s="13" t="str">
        <f>"030122"</f>
        <v>030122</v>
      </c>
      <c r="C664" s="13" t="s">
        <v>376</v>
      </c>
      <c r="D664" s="14">
        <v>572.39</v>
      </c>
      <c r="E664" s="13" t="s">
        <v>518</v>
      </c>
    </row>
    <row r="665" spans="1:5" x14ac:dyDescent="0.25">
      <c r="A665" s="13">
        <v>20180328</v>
      </c>
      <c r="B665" s="13" t="str">
        <f>"030123"</f>
        <v>030123</v>
      </c>
      <c r="C665" s="13" t="s">
        <v>123</v>
      </c>
      <c r="D665" s="14">
        <v>1177.23</v>
      </c>
      <c r="E665" s="13" t="s">
        <v>124</v>
      </c>
    </row>
    <row r="666" spans="1:5" x14ac:dyDescent="0.25">
      <c r="A666" s="13">
        <v>20180328</v>
      </c>
      <c r="B666" s="13" t="str">
        <f>"030124"</f>
        <v>030124</v>
      </c>
      <c r="C666" s="13" t="s">
        <v>519</v>
      </c>
      <c r="D666" s="14">
        <v>88.96</v>
      </c>
      <c r="E666" s="13" t="s">
        <v>520</v>
      </c>
    </row>
    <row r="667" spans="1:5" x14ac:dyDescent="0.25">
      <c r="A667" s="13">
        <v>20180328</v>
      </c>
      <c r="B667" s="13" t="str">
        <f>"030125"</f>
        <v>030125</v>
      </c>
      <c r="C667" s="13" t="s">
        <v>2</v>
      </c>
      <c r="D667" s="14">
        <v>35.340000000000003</v>
      </c>
      <c r="E667" s="13" t="s">
        <v>521</v>
      </c>
    </row>
    <row r="668" spans="1:5" x14ac:dyDescent="0.25">
      <c r="A668" s="13">
        <v>20180328</v>
      </c>
      <c r="B668" s="13" t="str">
        <f>"030125"</f>
        <v>030125</v>
      </c>
      <c r="C668" s="13" t="s">
        <v>2</v>
      </c>
      <c r="D668" s="14">
        <v>146.02000000000001</v>
      </c>
      <c r="E668" s="13" t="s">
        <v>522</v>
      </c>
    </row>
    <row r="669" spans="1:5" x14ac:dyDescent="0.25">
      <c r="A669" s="13">
        <v>20180328</v>
      </c>
      <c r="B669" s="13" t="str">
        <f>"030125"</f>
        <v>030125</v>
      </c>
      <c r="C669" s="13" t="s">
        <v>2</v>
      </c>
      <c r="D669" s="14">
        <v>440</v>
      </c>
      <c r="E669" s="13" t="s">
        <v>523</v>
      </c>
    </row>
    <row r="670" spans="1:5" x14ac:dyDescent="0.25">
      <c r="A670" s="13">
        <v>20180328</v>
      </c>
      <c r="B670" s="13" t="str">
        <f>"030125"</f>
        <v>030125</v>
      </c>
      <c r="C670" s="13" t="s">
        <v>2</v>
      </c>
      <c r="D670" s="14">
        <v>140</v>
      </c>
      <c r="E670" s="13" t="s">
        <v>524</v>
      </c>
    </row>
    <row r="671" spans="1:5" x14ac:dyDescent="0.25">
      <c r="A671" s="13">
        <v>20180328</v>
      </c>
      <c r="B671" s="13" t="str">
        <f>"030125"</f>
        <v>030125</v>
      </c>
      <c r="C671" s="13" t="s">
        <v>2</v>
      </c>
      <c r="D671" s="14">
        <v>47.88</v>
      </c>
      <c r="E671" s="13" t="s">
        <v>509</v>
      </c>
    </row>
    <row r="672" spans="1:5" x14ac:dyDescent="0.25">
      <c r="A672" s="13">
        <v>20180328</v>
      </c>
      <c r="B672" s="13" t="str">
        <f>"030126"</f>
        <v>030126</v>
      </c>
      <c r="C672" s="13" t="s">
        <v>42</v>
      </c>
      <c r="D672" s="14">
        <v>83.3</v>
      </c>
      <c r="E672" s="13" t="s">
        <v>525</v>
      </c>
    </row>
    <row r="673" spans="1:5" x14ac:dyDescent="0.25">
      <c r="A673" s="13">
        <v>20180328</v>
      </c>
      <c r="B673" s="13" t="str">
        <f>"030127"</f>
        <v>030127</v>
      </c>
      <c r="C673" s="13" t="s">
        <v>424</v>
      </c>
      <c r="D673" s="14">
        <v>10</v>
      </c>
      <c r="E673" s="13" t="s">
        <v>526</v>
      </c>
    </row>
    <row r="674" spans="1:5" x14ac:dyDescent="0.25">
      <c r="A674" s="13">
        <v>20180328</v>
      </c>
      <c r="B674" s="13" t="str">
        <f>"030128"</f>
        <v>030128</v>
      </c>
      <c r="C674" s="13" t="s">
        <v>99</v>
      </c>
      <c r="D674" s="14">
        <v>84.92</v>
      </c>
      <c r="E674" s="13" t="s">
        <v>527</v>
      </c>
    </row>
    <row r="675" spans="1:5" x14ac:dyDescent="0.25">
      <c r="A675" s="13">
        <v>20180328</v>
      </c>
      <c r="B675" s="13" t="str">
        <f>"030128"</f>
        <v>030128</v>
      </c>
      <c r="C675" s="13" t="s">
        <v>99</v>
      </c>
      <c r="D675" s="14">
        <v>7.84</v>
      </c>
      <c r="E675" s="13" t="s">
        <v>527</v>
      </c>
    </row>
    <row r="676" spans="1:5" x14ac:dyDescent="0.25">
      <c r="A676" s="13">
        <v>20180328</v>
      </c>
      <c r="B676" s="13" t="str">
        <f>"030128"</f>
        <v>030128</v>
      </c>
      <c r="C676" s="13" t="s">
        <v>99</v>
      </c>
      <c r="D676" s="14">
        <v>30.91</v>
      </c>
      <c r="E676" s="13" t="s">
        <v>527</v>
      </c>
    </row>
    <row r="677" spans="1:5" x14ac:dyDescent="0.25">
      <c r="A677" s="13">
        <v>20180328</v>
      </c>
      <c r="B677" s="13" t="str">
        <f>"030129"</f>
        <v>030129</v>
      </c>
      <c r="C677" s="13" t="s">
        <v>135</v>
      </c>
      <c r="D677" s="14">
        <v>79</v>
      </c>
      <c r="E677" s="13" t="s">
        <v>510</v>
      </c>
    </row>
    <row r="678" spans="1:5" x14ac:dyDescent="0.25">
      <c r="A678" s="13">
        <v>20180328</v>
      </c>
      <c r="B678" s="13" t="str">
        <f>"030131"</f>
        <v>030131</v>
      </c>
      <c r="C678" s="13" t="s">
        <v>271</v>
      </c>
      <c r="D678" s="14">
        <v>53.54</v>
      </c>
      <c r="E678" s="13" t="s">
        <v>528</v>
      </c>
    </row>
    <row r="679" spans="1:5" x14ac:dyDescent="0.25">
      <c r="A679" s="13">
        <v>20180328</v>
      </c>
      <c r="B679" s="13" t="str">
        <f>"030131"</f>
        <v>030131</v>
      </c>
      <c r="C679" s="13" t="s">
        <v>271</v>
      </c>
      <c r="D679" s="14">
        <v>49.89</v>
      </c>
      <c r="E679" s="13" t="s">
        <v>529</v>
      </c>
    </row>
    <row r="680" spans="1:5" x14ac:dyDescent="0.25">
      <c r="A680" s="13">
        <v>20180328</v>
      </c>
      <c r="B680" s="13" t="str">
        <f>"030132"</f>
        <v>030132</v>
      </c>
      <c r="C680" s="13" t="s">
        <v>114</v>
      </c>
      <c r="D680" s="14">
        <v>80</v>
      </c>
      <c r="E680" s="13" t="s">
        <v>530</v>
      </c>
    </row>
    <row r="681" spans="1:5" x14ac:dyDescent="0.25">
      <c r="A681" s="13">
        <v>20180328</v>
      </c>
      <c r="B681" s="13" t="str">
        <f>"030133"</f>
        <v>030133</v>
      </c>
      <c r="C681" s="13" t="s">
        <v>531</v>
      </c>
      <c r="D681" s="14">
        <v>90</v>
      </c>
      <c r="E681" s="13" t="s">
        <v>532</v>
      </c>
    </row>
    <row r="682" spans="1:5" x14ac:dyDescent="0.25">
      <c r="A682" s="13">
        <v>20180328</v>
      </c>
      <c r="B682" s="13" t="str">
        <f>"030134"</f>
        <v>030134</v>
      </c>
      <c r="C682" s="13" t="s">
        <v>533</v>
      </c>
      <c r="D682" s="14">
        <v>30</v>
      </c>
      <c r="E682" s="13" t="s">
        <v>534</v>
      </c>
    </row>
    <row r="683" spans="1:5" x14ac:dyDescent="0.25">
      <c r="A683" s="13">
        <v>20180328</v>
      </c>
      <c r="B683" s="13" t="str">
        <f>"030135"</f>
        <v>030135</v>
      </c>
      <c r="C683" s="13" t="s">
        <v>535</v>
      </c>
      <c r="D683" s="14">
        <v>1110.19</v>
      </c>
      <c r="E683" s="13" t="s">
        <v>536</v>
      </c>
    </row>
    <row r="684" spans="1:5" x14ac:dyDescent="0.25">
      <c r="C684" s="11" t="s">
        <v>786</v>
      </c>
      <c r="D684" s="12">
        <f>SUM(D593:D683)</f>
        <v>30257.179999999997</v>
      </c>
    </row>
    <row r="685" spans="1:5" x14ac:dyDescent="0.25">
      <c r="A685" s="13">
        <v>20180403</v>
      </c>
      <c r="B685" s="13" t="str">
        <f>"030136"</f>
        <v>030136</v>
      </c>
      <c r="C685" s="13" t="s">
        <v>537</v>
      </c>
      <c r="D685" s="14">
        <v>136</v>
      </c>
      <c r="E685" s="13" t="s">
        <v>538</v>
      </c>
    </row>
    <row r="686" spans="1:5" x14ac:dyDescent="0.25">
      <c r="A686" s="13">
        <v>20180403</v>
      </c>
      <c r="B686" s="13" t="str">
        <f>"030138"</f>
        <v>030138</v>
      </c>
      <c r="C686" s="13" t="s">
        <v>133</v>
      </c>
      <c r="D686" s="14">
        <v>356.09</v>
      </c>
      <c r="E686" s="13" t="s">
        <v>134</v>
      </c>
    </row>
    <row r="687" spans="1:5" x14ac:dyDescent="0.25">
      <c r="A687" s="13">
        <v>20180403</v>
      </c>
      <c r="B687" s="13" t="str">
        <f>"030139"</f>
        <v>030139</v>
      </c>
      <c r="C687" s="13" t="s">
        <v>18</v>
      </c>
      <c r="D687" s="14">
        <v>367.96</v>
      </c>
      <c r="E687" s="13" t="s">
        <v>539</v>
      </c>
    </row>
    <row r="688" spans="1:5" x14ac:dyDescent="0.25">
      <c r="A688" s="13">
        <v>20180403</v>
      </c>
      <c r="B688" s="13" t="str">
        <f>"030139"</f>
        <v>030139</v>
      </c>
      <c r="C688" s="13" t="s">
        <v>18</v>
      </c>
      <c r="D688" s="14">
        <v>47.15</v>
      </c>
      <c r="E688" s="13" t="s">
        <v>540</v>
      </c>
    </row>
    <row r="689" spans="1:5" x14ac:dyDescent="0.25">
      <c r="A689" s="13">
        <v>20180403</v>
      </c>
      <c r="B689" s="13" t="str">
        <f>"030140"</f>
        <v>030140</v>
      </c>
      <c r="C689" s="13" t="s">
        <v>400</v>
      </c>
      <c r="D689" s="14">
        <v>32</v>
      </c>
      <c r="E689" s="13" t="s">
        <v>541</v>
      </c>
    </row>
    <row r="690" spans="1:5" x14ac:dyDescent="0.25">
      <c r="A690" s="13">
        <v>20180403</v>
      </c>
      <c r="B690" s="13" t="str">
        <f>"030141"</f>
        <v>030141</v>
      </c>
      <c r="C690" s="13" t="s">
        <v>189</v>
      </c>
      <c r="D690" s="14">
        <v>133.80000000000001</v>
      </c>
      <c r="E690" s="13" t="s">
        <v>190</v>
      </c>
    </row>
    <row r="691" spans="1:5" x14ac:dyDescent="0.25">
      <c r="A691" s="13">
        <v>20180403</v>
      </c>
      <c r="B691" s="13" t="str">
        <f>"030142"</f>
        <v>030142</v>
      </c>
      <c r="C691" s="13" t="s">
        <v>271</v>
      </c>
      <c r="D691" s="14">
        <v>40.5</v>
      </c>
      <c r="E691" s="13" t="s">
        <v>542</v>
      </c>
    </row>
    <row r="692" spans="1:5" x14ac:dyDescent="0.25">
      <c r="A692" s="13">
        <v>20180403</v>
      </c>
      <c r="B692" s="13" t="str">
        <f>"030143"</f>
        <v>030143</v>
      </c>
      <c r="C692" s="13" t="s">
        <v>274</v>
      </c>
      <c r="D692" s="14">
        <v>205</v>
      </c>
      <c r="E692" s="13" t="s">
        <v>543</v>
      </c>
    </row>
    <row r="693" spans="1:5" x14ac:dyDescent="0.25">
      <c r="A693" s="13">
        <v>20180403</v>
      </c>
      <c r="B693" s="13" t="str">
        <f>"030144"</f>
        <v>030144</v>
      </c>
      <c r="C693" s="13" t="s">
        <v>276</v>
      </c>
      <c r="D693" s="14">
        <v>96</v>
      </c>
      <c r="E693" s="13" t="s">
        <v>544</v>
      </c>
    </row>
    <row r="694" spans="1:5" x14ac:dyDescent="0.25">
      <c r="A694" s="13">
        <v>20180403</v>
      </c>
      <c r="B694" s="13" t="str">
        <f>"030145"</f>
        <v>030145</v>
      </c>
      <c r="C694" s="13" t="s">
        <v>325</v>
      </c>
      <c r="D694" s="14">
        <v>667.8</v>
      </c>
      <c r="E694" s="13" t="s">
        <v>545</v>
      </c>
    </row>
    <row r="695" spans="1:5" x14ac:dyDescent="0.25">
      <c r="A695" s="13">
        <v>20180416</v>
      </c>
      <c r="B695" s="13" t="str">
        <f>"030147"</f>
        <v>030147</v>
      </c>
      <c r="C695" s="13" t="s">
        <v>27</v>
      </c>
      <c r="D695" s="14">
        <v>131.88</v>
      </c>
      <c r="E695" s="13" t="s">
        <v>546</v>
      </c>
    </row>
    <row r="696" spans="1:5" x14ac:dyDescent="0.25">
      <c r="A696" s="13">
        <v>20180416</v>
      </c>
      <c r="B696" s="13" t="str">
        <f>"030148"</f>
        <v>030148</v>
      </c>
      <c r="C696" s="13" t="s">
        <v>157</v>
      </c>
      <c r="D696" s="14">
        <v>112.71</v>
      </c>
      <c r="E696" s="13" t="s">
        <v>158</v>
      </c>
    </row>
    <row r="697" spans="1:5" x14ac:dyDescent="0.25">
      <c r="A697" s="13">
        <v>20180416</v>
      </c>
      <c r="B697" s="13" t="str">
        <f>"030149"</f>
        <v>030149</v>
      </c>
      <c r="C697" s="13" t="s">
        <v>46</v>
      </c>
      <c r="D697" s="14">
        <v>489.41</v>
      </c>
      <c r="E697" s="13" t="s">
        <v>405</v>
      </c>
    </row>
    <row r="698" spans="1:5" x14ac:dyDescent="0.25">
      <c r="A698" s="13">
        <v>20180416</v>
      </c>
      <c r="B698" s="13" t="str">
        <f>"030150"</f>
        <v>030150</v>
      </c>
      <c r="C698" s="13" t="s">
        <v>261</v>
      </c>
      <c r="D698" s="14">
        <v>500</v>
      </c>
      <c r="E698" s="13" t="s">
        <v>547</v>
      </c>
    </row>
    <row r="699" spans="1:5" x14ac:dyDescent="0.25">
      <c r="A699" s="13">
        <v>20180416</v>
      </c>
      <c r="B699" s="13" t="str">
        <f>"030150"</f>
        <v>030150</v>
      </c>
      <c r="C699" s="13" t="s">
        <v>261</v>
      </c>
      <c r="D699" s="14">
        <v>100</v>
      </c>
      <c r="E699" s="13" t="s">
        <v>548</v>
      </c>
    </row>
    <row r="700" spans="1:5" x14ac:dyDescent="0.25">
      <c r="A700" s="13">
        <v>20180416</v>
      </c>
      <c r="B700" s="13" t="str">
        <f>"030151"</f>
        <v>030151</v>
      </c>
      <c r="C700" s="13" t="s">
        <v>549</v>
      </c>
      <c r="D700" s="14">
        <v>20.149999999999999</v>
      </c>
      <c r="E700" s="13" t="s">
        <v>550</v>
      </c>
    </row>
    <row r="701" spans="1:5" x14ac:dyDescent="0.25">
      <c r="A701" s="13">
        <v>20180416</v>
      </c>
      <c r="B701" s="13" t="str">
        <f>"030152"</f>
        <v>030152</v>
      </c>
      <c r="C701" s="13" t="s">
        <v>224</v>
      </c>
      <c r="D701" s="14">
        <v>96.5</v>
      </c>
      <c r="E701" s="13" t="s">
        <v>551</v>
      </c>
    </row>
    <row r="702" spans="1:5" x14ac:dyDescent="0.25">
      <c r="A702" s="13">
        <v>20180416</v>
      </c>
      <c r="B702" s="13" t="str">
        <f>"030152"</f>
        <v>030152</v>
      </c>
      <c r="C702" s="13" t="s">
        <v>224</v>
      </c>
      <c r="D702" s="14">
        <v>122.45</v>
      </c>
      <c r="E702" s="13" t="s">
        <v>552</v>
      </c>
    </row>
    <row r="703" spans="1:5" x14ac:dyDescent="0.25">
      <c r="A703" s="13">
        <v>20180416</v>
      </c>
      <c r="B703" s="13" t="str">
        <f>"030153"</f>
        <v>030153</v>
      </c>
      <c r="C703" s="13" t="s">
        <v>42</v>
      </c>
      <c r="D703" s="14">
        <v>105.07</v>
      </c>
      <c r="E703" s="13" t="s">
        <v>553</v>
      </c>
    </row>
    <row r="704" spans="1:5" x14ac:dyDescent="0.25">
      <c r="A704" s="13">
        <v>20180416</v>
      </c>
      <c r="B704" s="13" t="str">
        <f>"030154"</f>
        <v>030154</v>
      </c>
      <c r="C704" s="13" t="s">
        <v>99</v>
      </c>
      <c r="D704" s="14">
        <v>510.25</v>
      </c>
      <c r="E704" s="13" t="s">
        <v>554</v>
      </c>
    </row>
    <row r="705" spans="1:5" x14ac:dyDescent="0.25">
      <c r="A705" s="13">
        <v>20180416</v>
      </c>
      <c r="B705" s="13" t="str">
        <f>"030155"</f>
        <v>030155</v>
      </c>
      <c r="C705" s="13" t="s">
        <v>60</v>
      </c>
      <c r="D705" s="14">
        <v>274</v>
      </c>
      <c r="E705" s="13" t="s">
        <v>555</v>
      </c>
    </row>
    <row r="706" spans="1:5" x14ac:dyDescent="0.25">
      <c r="A706" s="13">
        <v>20180416</v>
      </c>
      <c r="B706" s="13" t="str">
        <f>"030155"</f>
        <v>030155</v>
      </c>
      <c r="C706" s="13" t="s">
        <v>60</v>
      </c>
      <c r="D706" s="14">
        <v>182</v>
      </c>
      <c r="E706" s="13" t="s">
        <v>555</v>
      </c>
    </row>
    <row r="707" spans="1:5" x14ac:dyDescent="0.25">
      <c r="A707" s="13">
        <v>20180416</v>
      </c>
      <c r="B707" s="13" t="str">
        <f>"030156"</f>
        <v>030156</v>
      </c>
      <c r="C707" s="13" t="s">
        <v>385</v>
      </c>
      <c r="D707" s="14">
        <v>50</v>
      </c>
      <c r="E707" s="13" t="s">
        <v>141</v>
      </c>
    </row>
    <row r="708" spans="1:5" x14ac:dyDescent="0.25">
      <c r="A708" s="13">
        <v>20180416</v>
      </c>
      <c r="B708" s="13" t="str">
        <f>"030156"</f>
        <v>030156</v>
      </c>
      <c r="C708" s="13" t="s">
        <v>385</v>
      </c>
      <c r="D708" s="14">
        <v>25</v>
      </c>
      <c r="E708" s="13" t="s">
        <v>141</v>
      </c>
    </row>
    <row r="709" spans="1:5" x14ac:dyDescent="0.25">
      <c r="A709" s="13">
        <v>20180416</v>
      </c>
      <c r="B709" s="13" t="str">
        <f>"030156"</f>
        <v>030156</v>
      </c>
      <c r="C709" s="13" t="s">
        <v>385</v>
      </c>
      <c r="D709" s="14">
        <v>25</v>
      </c>
      <c r="E709" s="13" t="s">
        <v>141</v>
      </c>
    </row>
    <row r="710" spans="1:5" x14ac:dyDescent="0.25">
      <c r="A710" s="13">
        <v>20180416</v>
      </c>
      <c r="B710" s="13" t="str">
        <f>"030157"</f>
        <v>030157</v>
      </c>
      <c r="C710" s="13" t="s">
        <v>398</v>
      </c>
      <c r="D710" s="14">
        <v>71.25</v>
      </c>
      <c r="E710" s="13" t="s">
        <v>556</v>
      </c>
    </row>
    <row r="711" spans="1:5" x14ac:dyDescent="0.25">
      <c r="A711" s="13">
        <v>20180416</v>
      </c>
      <c r="B711" s="13" t="str">
        <f>"030157"</f>
        <v>030157</v>
      </c>
      <c r="C711" s="13" t="s">
        <v>398</v>
      </c>
      <c r="D711" s="14">
        <v>99.5</v>
      </c>
      <c r="E711" s="13" t="s">
        <v>557</v>
      </c>
    </row>
    <row r="712" spans="1:5" x14ac:dyDescent="0.25">
      <c r="A712" s="13">
        <v>20180416</v>
      </c>
      <c r="B712" s="13" t="str">
        <f>"030158"</f>
        <v>030158</v>
      </c>
      <c r="C712" s="13" t="s">
        <v>558</v>
      </c>
      <c r="D712" s="14">
        <v>123.75</v>
      </c>
      <c r="E712" s="13" t="s">
        <v>559</v>
      </c>
    </row>
    <row r="713" spans="1:5" x14ac:dyDescent="0.25">
      <c r="A713" s="13">
        <v>20180416</v>
      </c>
      <c r="B713" s="13" t="str">
        <f>"030159"</f>
        <v>030159</v>
      </c>
      <c r="C713" s="13" t="s">
        <v>8</v>
      </c>
      <c r="D713" s="14">
        <v>1000</v>
      </c>
      <c r="E713" s="13" t="s">
        <v>560</v>
      </c>
    </row>
    <row r="714" spans="1:5" x14ac:dyDescent="0.25">
      <c r="A714" s="13">
        <v>20180416</v>
      </c>
      <c r="B714" s="13" t="str">
        <f>"030160"</f>
        <v>030160</v>
      </c>
      <c r="C714" s="13" t="s">
        <v>400</v>
      </c>
      <c r="D714" s="14">
        <v>72</v>
      </c>
      <c r="E714" s="13" t="s">
        <v>561</v>
      </c>
    </row>
    <row r="715" spans="1:5" x14ac:dyDescent="0.25">
      <c r="A715" s="13">
        <v>20180416</v>
      </c>
      <c r="B715" s="13" t="str">
        <f>"030161"</f>
        <v>030161</v>
      </c>
      <c r="C715" s="13" t="s">
        <v>159</v>
      </c>
      <c r="D715" s="14">
        <v>204.3</v>
      </c>
      <c r="E715" s="13" t="s">
        <v>160</v>
      </c>
    </row>
    <row r="716" spans="1:5" x14ac:dyDescent="0.25">
      <c r="A716" s="13">
        <v>20180416</v>
      </c>
      <c r="B716" s="13" t="str">
        <f>"030162"</f>
        <v>030162</v>
      </c>
      <c r="C716" s="13" t="s">
        <v>197</v>
      </c>
      <c r="D716" s="14">
        <v>247.5</v>
      </c>
      <c r="E716" s="13" t="s">
        <v>562</v>
      </c>
    </row>
    <row r="717" spans="1:5" x14ac:dyDescent="0.25">
      <c r="A717" s="13">
        <v>20180425</v>
      </c>
      <c r="B717" s="13" t="str">
        <f>"030166"</f>
        <v>030166</v>
      </c>
      <c r="C717" s="13" t="s">
        <v>27</v>
      </c>
      <c r="D717" s="14">
        <v>640</v>
      </c>
      <c r="E717" s="13" t="s">
        <v>563</v>
      </c>
    </row>
    <row r="718" spans="1:5" x14ac:dyDescent="0.25">
      <c r="A718" s="13">
        <v>20180425</v>
      </c>
      <c r="B718" s="13" t="str">
        <f>"030167"</f>
        <v>030167</v>
      </c>
      <c r="C718" s="13" t="s">
        <v>142</v>
      </c>
      <c r="D718" s="14">
        <v>42</v>
      </c>
      <c r="E718" s="13" t="s">
        <v>564</v>
      </c>
    </row>
    <row r="719" spans="1:5" x14ac:dyDescent="0.25">
      <c r="A719" s="13">
        <v>20180425</v>
      </c>
      <c r="B719" s="13" t="str">
        <f>"030168"</f>
        <v>030168</v>
      </c>
      <c r="C719" s="13" t="s">
        <v>74</v>
      </c>
      <c r="D719" s="14">
        <v>11.82</v>
      </c>
      <c r="E719" s="13" t="s">
        <v>75</v>
      </c>
    </row>
    <row r="720" spans="1:5" x14ac:dyDescent="0.25">
      <c r="A720" s="13">
        <v>20180425</v>
      </c>
      <c r="B720" s="13" t="str">
        <f>"030169"</f>
        <v>030169</v>
      </c>
      <c r="C720" s="13" t="s">
        <v>76</v>
      </c>
      <c r="D720" s="14">
        <v>202.46</v>
      </c>
      <c r="E720" s="13" t="s">
        <v>77</v>
      </c>
    </row>
    <row r="721" spans="1:5" x14ac:dyDescent="0.25">
      <c r="A721" s="13">
        <v>20180425</v>
      </c>
      <c r="B721" s="13" t="str">
        <f>"030169"</f>
        <v>030169</v>
      </c>
      <c r="C721" s="13" t="s">
        <v>76</v>
      </c>
      <c r="D721" s="14">
        <v>213.94</v>
      </c>
      <c r="E721" s="13" t="s">
        <v>77</v>
      </c>
    </row>
    <row r="722" spans="1:5" x14ac:dyDescent="0.25">
      <c r="A722" s="13">
        <v>20180425</v>
      </c>
      <c r="B722" s="13" t="str">
        <f>"030169"</f>
        <v>030169</v>
      </c>
      <c r="C722" s="13" t="s">
        <v>76</v>
      </c>
      <c r="D722" s="14">
        <v>67.489999999999995</v>
      </c>
      <c r="E722" s="13" t="s">
        <v>77</v>
      </c>
    </row>
    <row r="723" spans="1:5" x14ac:dyDescent="0.25">
      <c r="A723" s="13">
        <v>20180425</v>
      </c>
      <c r="B723" s="13" t="str">
        <f>"030169"</f>
        <v>030169</v>
      </c>
      <c r="C723" s="13" t="s">
        <v>76</v>
      </c>
      <c r="D723" s="14">
        <v>67.489999999999995</v>
      </c>
      <c r="E723" s="13" t="s">
        <v>77</v>
      </c>
    </row>
    <row r="724" spans="1:5" x14ac:dyDescent="0.25">
      <c r="A724" s="13">
        <v>20180425</v>
      </c>
      <c r="B724" s="13" t="str">
        <f>"030170"</f>
        <v>030170</v>
      </c>
      <c r="C724" s="13" t="s">
        <v>123</v>
      </c>
      <c r="D724" s="14">
        <v>1058.76</v>
      </c>
      <c r="E724" s="13" t="s">
        <v>124</v>
      </c>
    </row>
    <row r="725" spans="1:5" x14ac:dyDescent="0.25">
      <c r="A725" s="13">
        <v>20180425</v>
      </c>
      <c r="B725" s="13" t="str">
        <f>"030171"</f>
        <v>030171</v>
      </c>
      <c r="C725" s="13" t="s">
        <v>80</v>
      </c>
      <c r="D725" s="14">
        <v>127.09</v>
      </c>
      <c r="E725" s="13" t="s">
        <v>81</v>
      </c>
    </row>
    <row r="726" spans="1:5" x14ac:dyDescent="0.25">
      <c r="A726" s="13">
        <v>20180425</v>
      </c>
      <c r="B726" s="13" t="str">
        <f>"030172"</f>
        <v>030172</v>
      </c>
      <c r="C726" s="13" t="s">
        <v>565</v>
      </c>
      <c r="D726" s="14">
        <v>52.48</v>
      </c>
      <c r="E726" s="13" t="s">
        <v>566</v>
      </c>
    </row>
    <row r="727" spans="1:5" x14ac:dyDescent="0.25">
      <c r="A727" s="13">
        <v>20180425</v>
      </c>
      <c r="B727" s="13" t="str">
        <f t="shared" ref="B727:B739" si="11">"030174"</f>
        <v>030174</v>
      </c>
      <c r="C727" s="13" t="s">
        <v>2</v>
      </c>
      <c r="D727" s="14">
        <v>67.2</v>
      </c>
      <c r="E727" s="13" t="s">
        <v>567</v>
      </c>
    </row>
    <row r="728" spans="1:5" x14ac:dyDescent="0.25">
      <c r="A728" s="13">
        <v>20180425</v>
      </c>
      <c r="B728" s="13" t="str">
        <f t="shared" si="11"/>
        <v>030174</v>
      </c>
      <c r="C728" s="13" t="s">
        <v>2</v>
      </c>
      <c r="D728" s="14">
        <v>58.48</v>
      </c>
      <c r="E728" s="13" t="s">
        <v>568</v>
      </c>
    </row>
    <row r="729" spans="1:5" x14ac:dyDescent="0.25">
      <c r="A729" s="13">
        <v>20180425</v>
      </c>
      <c r="B729" s="13" t="str">
        <f t="shared" si="11"/>
        <v>030174</v>
      </c>
      <c r="C729" s="13" t="s">
        <v>2</v>
      </c>
      <c r="D729" s="14">
        <v>442.98</v>
      </c>
      <c r="E729" s="13" t="s">
        <v>569</v>
      </c>
    </row>
    <row r="730" spans="1:5" x14ac:dyDescent="0.25">
      <c r="A730" s="13">
        <v>20180425</v>
      </c>
      <c r="B730" s="13" t="str">
        <f t="shared" si="11"/>
        <v>030174</v>
      </c>
      <c r="C730" s="13" t="s">
        <v>2</v>
      </c>
      <c r="D730" s="14">
        <v>89.96</v>
      </c>
      <c r="E730" s="13" t="s">
        <v>570</v>
      </c>
    </row>
    <row r="731" spans="1:5" x14ac:dyDescent="0.25">
      <c r="A731" s="13">
        <v>20180425</v>
      </c>
      <c r="B731" s="13" t="str">
        <f t="shared" si="11"/>
        <v>030174</v>
      </c>
      <c r="C731" s="13" t="s">
        <v>2</v>
      </c>
      <c r="D731" s="14">
        <v>5.41</v>
      </c>
      <c r="E731" s="13" t="s">
        <v>571</v>
      </c>
    </row>
    <row r="732" spans="1:5" x14ac:dyDescent="0.25">
      <c r="A732" s="13">
        <v>20180425</v>
      </c>
      <c r="B732" s="13" t="str">
        <f t="shared" si="11"/>
        <v>030174</v>
      </c>
      <c r="C732" s="13" t="s">
        <v>2</v>
      </c>
      <c r="D732" s="14">
        <v>19.440000000000001</v>
      </c>
      <c r="E732" s="13" t="s">
        <v>571</v>
      </c>
    </row>
    <row r="733" spans="1:5" x14ac:dyDescent="0.25">
      <c r="A733" s="13">
        <v>20180425</v>
      </c>
      <c r="B733" s="13" t="str">
        <f t="shared" si="11"/>
        <v>030174</v>
      </c>
      <c r="C733" s="13" t="s">
        <v>2</v>
      </c>
      <c r="D733" s="14">
        <v>31.28</v>
      </c>
      <c r="E733" s="13" t="s">
        <v>571</v>
      </c>
    </row>
    <row r="734" spans="1:5" x14ac:dyDescent="0.25">
      <c r="A734" s="13">
        <v>20180425</v>
      </c>
      <c r="B734" s="13" t="str">
        <f t="shared" si="11"/>
        <v>030174</v>
      </c>
      <c r="C734" s="13" t="s">
        <v>2</v>
      </c>
      <c r="D734" s="14">
        <v>259.32</v>
      </c>
      <c r="E734" s="13" t="s">
        <v>572</v>
      </c>
    </row>
    <row r="735" spans="1:5" x14ac:dyDescent="0.25">
      <c r="A735" s="13">
        <v>20180425</v>
      </c>
      <c r="B735" s="13" t="str">
        <f t="shared" si="11"/>
        <v>030174</v>
      </c>
      <c r="C735" s="13" t="s">
        <v>2</v>
      </c>
      <c r="D735" s="14">
        <v>109.27</v>
      </c>
      <c r="E735" s="13" t="s">
        <v>573</v>
      </c>
    </row>
    <row r="736" spans="1:5" x14ac:dyDescent="0.25">
      <c r="A736" s="13">
        <v>20180425</v>
      </c>
      <c r="B736" s="13" t="str">
        <f t="shared" si="11"/>
        <v>030174</v>
      </c>
      <c r="C736" s="13" t="s">
        <v>2</v>
      </c>
      <c r="D736" s="14">
        <v>10</v>
      </c>
      <c r="E736" s="13" t="s">
        <v>574</v>
      </c>
    </row>
    <row r="737" spans="1:5" x14ac:dyDescent="0.25">
      <c r="A737" s="13">
        <v>20180425</v>
      </c>
      <c r="B737" s="13" t="str">
        <f t="shared" si="11"/>
        <v>030174</v>
      </c>
      <c r="C737" s="13" t="s">
        <v>2</v>
      </c>
      <c r="D737" s="14">
        <v>1</v>
      </c>
      <c r="E737" s="13" t="s">
        <v>575</v>
      </c>
    </row>
    <row r="738" spans="1:5" x14ac:dyDescent="0.25">
      <c r="A738" s="13">
        <v>20180425</v>
      </c>
      <c r="B738" s="13" t="str">
        <f t="shared" si="11"/>
        <v>030174</v>
      </c>
      <c r="C738" s="13" t="s">
        <v>2</v>
      </c>
      <c r="D738" s="14">
        <v>618.9</v>
      </c>
      <c r="E738" s="13" t="s">
        <v>575</v>
      </c>
    </row>
    <row r="739" spans="1:5" x14ac:dyDescent="0.25">
      <c r="A739" s="13">
        <v>20180425</v>
      </c>
      <c r="B739" s="13" t="str">
        <f t="shared" si="11"/>
        <v>030174</v>
      </c>
      <c r="C739" s="13" t="s">
        <v>2</v>
      </c>
      <c r="D739" s="14">
        <v>7.48</v>
      </c>
      <c r="E739" s="13" t="s">
        <v>576</v>
      </c>
    </row>
    <row r="740" spans="1:5" x14ac:dyDescent="0.25">
      <c r="A740" s="13">
        <v>20180425</v>
      </c>
      <c r="B740" s="13" t="str">
        <f>"030175"</f>
        <v>030175</v>
      </c>
      <c r="C740" s="13" t="s">
        <v>42</v>
      </c>
      <c r="D740" s="14">
        <v>71.55</v>
      </c>
      <c r="E740" s="13" t="s">
        <v>577</v>
      </c>
    </row>
    <row r="741" spans="1:5" x14ac:dyDescent="0.25">
      <c r="A741" s="13">
        <v>20180425</v>
      </c>
      <c r="B741" s="13" t="str">
        <f>"030176"</f>
        <v>030176</v>
      </c>
      <c r="C741" s="13" t="s">
        <v>99</v>
      </c>
      <c r="D741" s="14">
        <v>12.58</v>
      </c>
      <c r="E741" s="13" t="s">
        <v>187</v>
      </c>
    </row>
    <row r="742" spans="1:5" x14ac:dyDescent="0.25">
      <c r="A742" s="13">
        <v>20180425</v>
      </c>
      <c r="B742" s="13" t="str">
        <f>"030176"</f>
        <v>030176</v>
      </c>
      <c r="C742" s="13" t="s">
        <v>99</v>
      </c>
      <c r="D742" s="14">
        <v>9.99</v>
      </c>
      <c r="E742" s="13" t="s">
        <v>187</v>
      </c>
    </row>
    <row r="743" spans="1:5" x14ac:dyDescent="0.25">
      <c r="A743" s="13">
        <v>20180425</v>
      </c>
      <c r="B743" s="13" t="str">
        <f>"030177"</f>
        <v>030177</v>
      </c>
      <c r="C743" s="13" t="s">
        <v>398</v>
      </c>
      <c r="D743" s="14">
        <v>55</v>
      </c>
      <c r="E743" s="13" t="s">
        <v>578</v>
      </c>
    </row>
    <row r="744" spans="1:5" x14ac:dyDescent="0.25">
      <c r="A744" s="13">
        <v>20180425</v>
      </c>
      <c r="B744" s="13" t="str">
        <f>"030178"</f>
        <v>030178</v>
      </c>
      <c r="C744" s="13" t="s">
        <v>579</v>
      </c>
      <c r="D744" s="14">
        <v>1480</v>
      </c>
      <c r="E744" s="13" t="s">
        <v>580</v>
      </c>
    </row>
    <row r="745" spans="1:5" x14ac:dyDescent="0.25">
      <c r="A745" s="13">
        <v>20180425</v>
      </c>
      <c r="B745" s="13" t="str">
        <f>"030179"</f>
        <v>030179</v>
      </c>
      <c r="C745" s="13" t="s">
        <v>400</v>
      </c>
      <c r="D745" s="14">
        <v>24</v>
      </c>
      <c r="E745" s="13" t="s">
        <v>581</v>
      </c>
    </row>
    <row r="746" spans="1:5" x14ac:dyDescent="0.25">
      <c r="A746" s="13">
        <v>20180425</v>
      </c>
      <c r="B746" s="13" t="str">
        <f>"030180"</f>
        <v>030180</v>
      </c>
      <c r="C746" s="13" t="s">
        <v>582</v>
      </c>
      <c r="D746" s="14">
        <v>45</v>
      </c>
      <c r="E746" s="13" t="s">
        <v>583</v>
      </c>
    </row>
    <row r="747" spans="1:5" x14ac:dyDescent="0.25">
      <c r="C747" s="11" t="s">
        <v>787</v>
      </c>
      <c r="D747" s="12">
        <f>SUM(D685:D746)</f>
        <v>12547.389999999998</v>
      </c>
    </row>
    <row r="748" spans="1:5" x14ac:dyDescent="0.25">
      <c r="A748" s="13">
        <v>20180503</v>
      </c>
      <c r="B748" s="13" t="str">
        <f>"030181"</f>
        <v>030181</v>
      </c>
      <c r="C748" s="13" t="s">
        <v>46</v>
      </c>
      <c r="D748" s="14">
        <v>489.41</v>
      </c>
      <c r="E748" s="13" t="s">
        <v>405</v>
      </c>
    </row>
    <row r="749" spans="1:5" x14ac:dyDescent="0.25">
      <c r="A749" s="13">
        <v>20180503</v>
      </c>
      <c r="B749" s="13" t="str">
        <f>"030182"</f>
        <v>030182</v>
      </c>
      <c r="C749" s="13" t="s">
        <v>584</v>
      </c>
      <c r="D749" s="14">
        <v>42.04</v>
      </c>
      <c r="E749" s="13" t="s">
        <v>585</v>
      </c>
    </row>
    <row r="750" spans="1:5" x14ac:dyDescent="0.25">
      <c r="A750" s="13">
        <v>20180503</v>
      </c>
      <c r="B750" s="13" t="str">
        <f>"030184"</f>
        <v>030184</v>
      </c>
      <c r="C750" s="13" t="s">
        <v>586</v>
      </c>
      <c r="D750" s="14">
        <v>135.61000000000001</v>
      </c>
      <c r="E750" s="13" t="s">
        <v>587</v>
      </c>
    </row>
    <row r="751" spans="1:5" x14ac:dyDescent="0.25">
      <c r="A751" s="13">
        <v>20180503</v>
      </c>
      <c r="B751" s="13" t="str">
        <f>"030185"</f>
        <v>030185</v>
      </c>
      <c r="C751" s="13" t="s">
        <v>133</v>
      </c>
      <c r="D751" s="14">
        <v>657.01</v>
      </c>
      <c r="E751" s="13" t="s">
        <v>134</v>
      </c>
    </row>
    <row r="752" spans="1:5" x14ac:dyDescent="0.25">
      <c r="A752" s="13">
        <v>20180503</v>
      </c>
      <c r="B752" s="13" t="str">
        <f t="shared" ref="B752:B767" si="12">"030186"</f>
        <v>030186</v>
      </c>
      <c r="C752" s="13" t="s">
        <v>2</v>
      </c>
      <c r="D752" s="14">
        <v>8.5299999999999994</v>
      </c>
      <c r="E752" s="13" t="s">
        <v>588</v>
      </c>
    </row>
    <row r="753" spans="1:5" x14ac:dyDescent="0.25">
      <c r="A753" s="13">
        <v>20180503</v>
      </c>
      <c r="B753" s="13" t="str">
        <f t="shared" si="12"/>
        <v>030186</v>
      </c>
      <c r="C753" s="13" t="s">
        <v>2</v>
      </c>
      <c r="D753" s="14">
        <v>51.75</v>
      </c>
      <c r="E753" s="13" t="s">
        <v>571</v>
      </c>
    </row>
    <row r="754" spans="1:5" x14ac:dyDescent="0.25">
      <c r="A754" s="13">
        <v>20180503</v>
      </c>
      <c r="B754" s="13" t="str">
        <f t="shared" si="12"/>
        <v>030186</v>
      </c>
      <c r="C754" s="13" t="s">
        <v>2</v>
      </c>
      <c r="D754" s="14">
        <v>99.67</v>
      </c>
      <c r="E754" s="13" t="s">
        <v>589</v>
      </c>
    </row>
    <row r="755" spans="1:5" x14ac:dyDescent="0.25">
      <c r="A755" s="13">
        <v>20180503</v>
      </c>
      <c r="B755" s="13" t="str">
        <f t="shared" si="12"/>
        <v>030186</v>
      </c>
      <c r="C755" s="13" t="s">
        <v>2</v>
      </c>
      <c r="D755" s="14">
        <v>204.22</v>
      </c>
      <c r="E755" s="13" t="s">
        <v>589</v>
      </c>
    </row>
    <row r="756" spans="1:5" x14ac:dyDescent="0.25">
      <c r="A756" s="13">
        <v>20180503</v>
      </c>
      <c r="B756" s="13" t="str">
        <f t="shared" si="12"/>
        <v>030186</v>
      </c>
      <c r="C756" s="13" t="s">
        <v>2</v>
      </c>
      <c r="D756" s="14">
        <v>9.7200000000000006</v>
      </c>
      <c r="E756" s="13" t="s">
        <v>589</v>
      </c>
    </row>
    <row r="757" spans="1:5" x14ac:dyDescent="0.25">
      <c r="A757" s="13">
        <v>20180503</v>
      </c>
      <c r="B757" s="13" t="str">
        <f t="shared" si="12"/>
        <v>030186</v>
      </c>
      <c r="C757" s="13" t="s">
        <v>2</v>
      </c>
      <c r="D757" s="14">
        <v>17.989999999999998</v>
      </c>
      <c r="E757" s="13" t="s">
        <v>589</v>
      </c>
    </row>
    <row r="758" spans="1:5" x14ac:dyDescent="0.25">
      <c r="A758" s="13">
        <v>20180503</v>
      </c>
      <c r="B758" s="13" t="str">
        <f t="shared" si="12"/>
        <v>030186</v>
      </c>
      <c r="C758" s="13" t="s">
        <v>2</v>
      </c>
      <c r="D758" s="14">
        <v>20.16</v>
      </c>
      <c r="E758" s="13" t="s">
        <v>589</v>
      </c>
    </row>
    <row r="759" spans="1:5" x14ac:dyDescent="0.25">
      <c r="A759" s="13">
        <v>20180503</v>
      </c>
      <c r="B759" s="13" t="str">
        <f t="shared" si="12"/>
        <v>030186</v>
      </c>
      <c r="C759" s="13" t="s">
        <v>2</v>
      </c>
      <c r="D759" s="14">
        <v>94.45</v>
      </c>
      <c r="E759" s="13" t="s">
        <v>589</v>
      </c>
    </row>
    <row r="760" spans="1:5" x14ac:dyDescent="0.25">
      <c r="A760" s="13">
        <v>20180503</v>
      </c>
      <c r="B760" s="13" t="str">
        <f t="shared" si="12"/>
        <v>030186</v>
      </c>
      <c r="C760" s="13" t="s">
        <v>2</v>
      </c>
      <c r="D760" s="14">
        <v>117.11</v>
      </c>
      <c r="E760" s="13" t="s">
        <v>589</v>
      </c>
    </row>
    <row r="761" spans="1:5" x14ac:dyDescent="0.25">
      <c r="A761" s="13">
        <v>20180503</v>
      </c>
      <c r="B761" s="13" t="str">
        <f t="shared" si="12"/>
        <v>030186</v>
      </c>
      <c r="C761" s="13" t="s">
        <v>2</v>
      </c>
      <c r="D761" s="14">
        <v>70.900000000000006</v>
      </c>
      <c r="E761" s="13" t="s">
        <v>589</v>
      </c>
    </row>
    <row r="762" spans="1:5" x14ac:dyDescent="0.25">
      <c r="A762" s="13">
        <v>20180503</v>
      </c>
      <c r="B762" s="13" t="str">
        <f t="shared" si="12"/>
        <v>030186</v>
      </c>
      <c r="C762" s="13" t="s">
        <v>2</v>
      </c>
      <c r="D762" s="14">
        <v>38.54</v>
      </c>
      <c r="E762" s="13" t="s">
        <v>589</v>
      </c>
    </row>
    <row r="763" spans="1:5" x14ac:dyDescent="0.25">
      <c r="A763" s="13">
        <v>20180503</v>
      </c>
      <c r="B763" s="13" t="str">
        <f t="shared" si="12"/>
        <v>030186</v>
      </c>
      <c r="C763" s="13" t="s">
        <v>2</v>
      </c>
      <c r="D763" s="14">
        <v>76.28</v>
      </c>
      <c r="E763" s="13" t="s">
        <v>589</v>
      </c>
    </row>
    <row r="764" spans="1:5" x14ac:dyDescent="0.25">
      <c r="A764" s="13">
        <v>20180503</v>
      </c>
      <c r="B764" s="13" t="str">
        <f t="shared" si="12"/>
        <v>030186</v>
      </c>
      <c r="C764" s="13" t="s">
        <v>2</v>
      </c>
      <c r="D764" s="14">
        <v>954.84</v>
      </c>
      <c r="E764" s="13" t="s">
        <v>590</v>
      </c>
    </row>
    <row r="765" spans="1:5" x14ac:dyDescent="0.25">
      <c r="A765" s="13">
        <v>20180503</v>
      </c>
      <c r="B765" s="13" t="str">
        <f t="shared" si="12"/>
        <v>030186</v>
      </c>
      <c r="C765" s="13" t="s">
        <v>2</v>
      </c>
      <c r="D765" s="14">
        <v>300.18</v>
      </c>
      <c r="E765" s="13" t="s">
        <v>591</v>
      </c>
    </row>
    <row r="766" spans="1:5" x14ac:dyDescent="0.25">
      <c r="A766" s="13">
        <v>20180503</v>
      </c>
      <c r="B766" s="13" t="str">
        <f t="shared" si="12"/>
        <v>030186</v>
      </c>
      <c r="C766" s="13" t="s">
        <v>2</v>
      </c>
      <c r="D766" s="14">
        <v>744</v>
      </c>
      <c r="E766" s="13" t="s">
        <v>592</v>
      </c>
    </row>
    <row r="767" spans="1:5" x14ac:dyDescent="0.25">
      <c r="A767" s="13">
        <v>20180503</v>
      </c>
      <c r="B767" s="13" t="str">
        <f t="shared" si="12"/>
        <v>030186</v>
      </c>
      <c r="C767" s="13" t="s">
        <v>2</v>
      </c>
      <c r="D767" s="14">
        <v>24.11</v>
      </c>
      <c r="E767" s="13" t="s">
        <v>593</v>
      </c>
    </row>
    <row r="768" spans="1:5" x14ac:dyDescent="0.25">
      <c r="A768" s="13">
        <v>20180503</v>
      </c>
      <c r="B768" s="13" t="str">
        <f>"030187"</f>
        <v>030187</v>
      </c>
      <c r="C768" s="13" t="s">
        <v>99</v>
      </c>
      <c r="D768" s="14">
        <v>34.979999999999997</v>
      </c>
      <c r="E768" s="13" t="s">
        <v>594</v>
      </c>
    </row>
    <row r="769" spans="1:5" x14ac:dyDescent="0.25">
      <c r="A769" s="13">
        <v>20180503</v>
      </c>
      <c r="B769" s="13" t="str">
        <f>"030187"</f>
        <v>030187</v>
      </c>
      <c r="C769" s="13" t="s">
        <v>99</v>
      </c>
      <c r="D769" s="14">
        <v>33.96</v>
      </c>
      <c r="E769" s="13" t="s">
        <v>594</v>
      </c>
    </row>
    <row r="770" spans="1:5" x14ac:dyDescent="0.25">
      <c r="A770" s="13">
        <v>20180503</v>
      </c>
      <c r="B770" s="13" t="str">
        <f>"030187"</f>
        <v>030187</v>
      </c>
      <c r="C770" s="13" t="s">
        <v>99</v>
      </c>
      <c r="D770" s="14">
        <v>25.36</v>
      </c>
      <c r="E770" s="13" t="s">
        <v>594</v>
      </c>
    </row>
    <row r="771" spans="1:5" x14ac:dyDescent="0.25">
      <c r="A771" s="13">
        <v>20180503</v>
      </c>
      <c r="B771" s="13" t="str">
        <f t="shared" ref="B771:B781" si="13">"030188"</f>
        <v>030188</v>
      </c>
      <c r="C771" s="13" t="s">
        <v>18</v>
      </c>
      <c r="D771" s="14">
        <v>500</v>
      </c>
      <c r="E771" s="13" t="s">
        <v>595</v>
      </c>
    </row>
    <row r="772" spans="1:5" x14ac:dyDescent="0.25">
      <c r="A772" s="13">
        <v>20180503</v>
      </c>
      <c r="B772" s="13" t="str">
        <f t="shared" si="13"/>
        <v>030188</v>
      </c>
      <c r="C772" s="13" t="s">
        <v>18</v>
      </c>
      <c r="D772" s="14">
        <v>556.96</v>
      </c>
      <c r="E772" s="13" t="s">
        <v>595</v>
      </c>
    </row>
    <row r="773" spans="1:5" x14ac:dyDescent="0.25">
      <c r="A773" s="13">
        <v>20180503</v>
      </c>
      <c r="B773" s="13" t="str">
        <f t="shared" si="13"/>
        <v>030188</v>
      </c>
      <c r="C773" s="13" t="s">
        <v>18</v>
      </c>
      <c r="D773" s="14">
        <v>129.43</v>
      </c>
      <c r="E773" s="13" t="s">
        <v>596</v>
      </c>
    </row>
    <row r="774" spans="1:5" x14ac:dyDescent="0.25">
      <c r="A774" s="13">
        <v>20180503</v>
      </c>
      <c r="B774" s="13" t="str">
        <f t="shared" si="13"/>
        <v>030188</v>
      </c>
      <c r="C774" s="13" t="s">
        <v>18</v>
      </c>
      <c r="D774" s="14">
        <v>129.85</v>
      </c>
      <c r="E774" s="13" t="s">
        <v>597</v>
      </c>
    </row>
    <row r="775" spans="1:5" x14ac:dyDescent="0.25">
      <c r="A775" s="13">
        <v>20180503</v>
      </c>
      <c r="B775" s="13" t="str">
        <f t="shared" si="13"/>
        <v>030188</v>
      </c>
      <c r="C775" s="13" t="s">
        <v>18</v>
      </c>
      <c r="D775" s="14">
        <v>25.69</v>
      </c>
      <c r="E775" s="13" t="s">
        <v>597</v>
      </c>
    </row>
    <row r="776" spans="1:5" x14ac:dyDescent="0.25">
      <c r="A776" s="13">
        <v>20180503</v>
      </c>
      <c r="B776" s="13" t="str">
        <f t="shared" si="13"/>
        <v>030188</v>
      </c>
      <c r="C776" s="13" t="s">
        <v>18</v>
      </c>
      <c r="D776" s="14">
        <v>9.99</v>
      </c>
      <c r="E776" s="13" t="s">
        <v>597</v>
      </c>
    </row>
    <row r="777" spans="1:5" x14ac:dyDescent="0.25">
      <c r="A777" s="13">
        <v>20180503</v>
      </c>
      <c r="B777" s="13" t="str">
        <f t="shared" si="13"/>
        <v>030188</v>
      </c>
      <c r="C777" s="13" t="s">
        <v>18</v>
      </c>
      <c r="D777" s="14">
        <v>29.98</v>
      </c>
      <c r="E777" s="13" t="s">
        <v>597</v>
      </c>
    </row>
    <row r="778" spans="1:5" x14ac:dyDescent="0.25">
      <c r="A778" s="13">
        <v>20180503</v>
      </c>
      <c r="B778" s="13" t="str">
        <f t="shared" si="13"/>
        <v>030188</v>
      </c>
      <c r="C778" s="13" t="s">
        <v>18</v>
      </c>
      <c r="D778" s="14">
        <v>28.76</v>
      </c>
      <c r="E778" s="13" t="s">
        <v>595</v>
      </c>
    </row>
    <row r="779" spans="1:5" x14ac:dyDescent="0.25">
      <c r="A779" s="13">
        <v>20180503</v>
      </c>
      <c r="B779" s="13" t="str">
        <f t="shared" si="13"/>
        <v>030188</v>
      </c>
      <c r="C779" s="13" t="s">
        <v>18</v>
      </c>
      <c r="D779" s="14">
        <v>32.799999999999997</v>
      </c>
      <c r="E779" s="13" t="s">
        <v>595</v>
      </c>
    </row>
    <row r="780" spans="1:5" x14ac:dyDescent="0.25">
      <c r="A780" s="13">
        <v>20180503</v>
      </c>
      <c r="B780" s="13" t="str">
        <f t="shared" si="13"/>
        <v>030188</v>
      </c>
      <c r="C780" s="13" t="s">
        <v>18</v>
      </c>
      <c r="D780" s="14">
        <v>10.4</v>
      </c>
      <c r="E780" s="13" t="s">
        <v>595</v>
      </c>
    </row>
    <row r="781" spans="1:5" x14ac:dyDescent="0.25">
      <c r="A781" s="13">
        <v>20180503</v>
      </c>
      <c r="B781" s="13" t="str">
        <f t="shared" si="13"/>
        <v>030188</v>
      </c>
      <c r="C781" s="13" t="s">
        <v>18</v>
      </c>
      <c r="D781" s="14">
        <v>5.2</v>
      </c>
      <c r="E781" s="13" t="s">
        <v>595</v>
      </c>
    </row>
    <row r="782" spans="1:5" x14ac:dyDescent="0.25">
      <c r="A782" s="13">
        <v>20180503</v>
      </c>
      <c r="B782" s="13" t="str">
        <f>"030189"</f>
        <v>030189</v>
      </c>
      <c r="C782" s="13" t="s">
        <v>598</v>
      </c>
      <c r="D782" s="14">
        <v>1000</v>
      </c>
      <c r="E782" s="13" t="s">
        <v>599</v>
      </c>
    </row>
    <row r="783" spans="1:5" x14ac:dyDescent="0.25">
      <c r="A783" s="13">
        <v>20180503</v>
      </c>
      <c r="B783" s="13" t="str">
        <f>"030190"</f>
        <v>030190</v>
      </c>
      <c r="C783" s="13" t="s">
        <v>600</v>
      </c>
      <c r="D783" s="14">
        <v>422.26</v>
      </c>
      <c r="E783" s="13" t="s">
        <v>601</v>
      </c>
    </row>
    <row r="784" spans="1:5" x14ac:dyDescent="0.25">
      <c r="A784" s="13">
        <v>20180503</v>
      </c>
      <c r="B784" s="13" t="str">
        <f>"030191"</f>
        <v>030191</v>
      </c>
      <c r="C784" s="13" t="s">
        <v>602</v>
      </c>
      <c r="D784" s="14">
        <v>30</v>
      </c>
      <c r="E784" s="13" t="s">
        <v>603</v>
      </c>
    </row>
    <row r="785" spans="1:5" x14ac:dyDescent="0.25">
      <c r="A785" s="13">
        <v>20180503</v>
      </c>
      <c r="B785" s="13" t="str">
        <f>"030191"</f>
        <v>030191</v>
      </c>
      <c r="C785" s="13" t="s">
        <v>602</v>
      </c>
      <c r="D785" s="14">
        <v>30</v>
      </c>
      <c r="E785" s="13" t="s">
        <v>603</v>
      </c>
    </row>
    <row r="786" spans="1:5" x14ac:dyDescent="0.25">
      <c r="A786" s="13">
        <v>20180503</v>
      </c>
      <c r="B786" s="13" t="str">
        <f>"030191"</f>
        <v>030191</v>
      </c>
      <c r="C786" s="13" t="s">
        <v>602</v>
      </c>
      <c r="D786" s="14">
        <v>120</v>
      </c>
      <c r="E786" s="13" t="s">
        <v>603</v>
      </c>
    </row>
    <row r="787" spans="1:5" x14ac:dyDescent="0.25">
      <c r="A787" s="13">
        <v>20180503</v>
      </c>
      <c r="B787" s="13" t="str">
        <f>"030192"</f>
        <v>030192</v>
      </c>
      <c r="C787" s="13" t="s">
        <v>114</v>
      </c>
      <c r="D787" s="14">
        <v>3200</v>
      </c>
      <c r="E787" s="13" t="s">
        <v>61</v>
      </c>
    </row>
    <row r="788" spans="1:5" x14ac:dyDescent="0.25">
      <c r="A788" s="13">
        <v>20180509</v>
      </c>
      <c r="B788" s="13" t="str">
        <f>"030193"</f>
        <v>030193</v>
      </c>
      <c r="C788" s="13" t="s">
        <v>213</v>
      </c>
      <c r="D788" s="14">
        <v>900</v>
      </c>
      <c r="E788" s="13" t="s">
        <v>163</v>
      </c>
    </row>
    <row r="789" spans="1:5" x14ac:dyDescent="0.25">
      <c r="A789" s="13">
        <v>20180509</v>
      </c>
      <c r="B789" s="13" t="str">
        <f>"030194"</f>
        <v>030194</v>
      </c>
      <c r="C789" s="13" t="s">
        <v>4</v>
      </c>
      <c r="D789" s="14">
        <v>42.37</v>
      </c>
      <c r="E789" s="13" t="s">
        <v>604</v>
      </c>
    </row>
    <row r="790" spans="1:5" x14ac:dyDescent="0.25">
      <c r="A790" s="13">
        <v>20180509</v>
      </c>
      <c r="B790" s="13" t="str">
        <f>"030194"</f>
        <v>030194</v>
      </c>
      <c r="C790" s="13" t="s">
        <v>4</v>
      </c>
      <c r="D790" s="14">
        <v>40.340000000000003</v>
      </c>
      <c r="E790" s="13" t="s">
        <v>605</v>
      </c>
    </row>
    <row r="791" spans="1:5" x14ac:dyDescent="0.25">
      <c r="A791" s="13">
        <v>20180509</v>
      </c>
      <c r="B791" s="13" t="str">
        <f>"030196"</f>
        <v>030196</v>
      </c>
      <c r="C791" s="13" t="s">
        <v>99</v>
      </c>
      <c r="D791" s="14">
        <v>31.92</v>
      </c>
      <c r="E791" s="13" t="s">
        <v>606</v>
      </c>
    </row>
    <row r="792" spans="1:5" x14ac:dyDescent="0.25">
      <c r="A792" s="13">
        <v>20180509</v>
      </c>
      <c r="B792" s="13" t="str">
        <f>"030197"</f>
        <v>030197</v>
      </c>
      <c r="C792" s="13" t="s">
        <v>607</v>
      </c>
      <c r="D792" s="14">
        <v>50</v>
      </c>
      <c r="E792" s="13" t="s">
        <v>608</v>
      </c>
    </row>
    <row r="793" spans="1:5" x14ac:dyDescent="0.25">
      <c r="A793" s="13">
        <v>20180509</v>
      </c>
      <c r="B793" s="13" t="str">
        <f>"030198"</f>
        <v>030198</v>
      </c>
      <c r="C793" s="13" t="s">
        <v>271</v>
      </c>
      <c r="D793" s="14">
        <v>28.5</v>
      </c>
      <c r="E793" s="13" t="s">
        <v>609</v>
      </c>
    </row>
    <row r="794" spans="1:5" x14ac:dyDescent="0.25">
      <c r="A794" s="13">
        <v>20180509</v>
      </c>
      <c r="B794" s="13" t="str">
        <f>"030200"</f>
        <v>030200</v>
      </c>
      <c r="C794" s="13" t="s">
        <v>159</v>
      </c>
      <c r="D794" s="14">
        <v>203.13</v>
      </c>
      <c r="E794" s="13" t="s">
        <v>160</v>
      </c>
    </row>
    <row r="795" spans="1:5" x14ac:dyDescent="0.25">
      <c r="A795" s="13">
        <v>20180509</v>
      </c>
      <c r="B795" s="13" t="str">
        <f>"030201"</f>
        <v>030201</v>
      </c>
      <c r="C795" s="13" t="s">
        <v>197</v>
      </c>
      <c r="D795" s="14">
        <v>1034</v>
      </c>
      <c r="E795" s="13" t="s">
        <v>198</v>
      </c>
    </row>
    <row r="796" spans="1:5" x14ac:dyDescent="0.25">
      <c r="A796" s="13">
        <v>20180509</v>
      </c>
      <c r="B796" s="13" t="str">
        <f>"030202"</f>
        <v>030202</v>
      </c>
      <c r="C796" s="13" t="s">
        <v>30</v>
      </c>
      <c r="D796" s="14">
        <v>120</v>
      </c>
      <c r="E796" s="13" t="s">
        <v>610</v>
      </c>
    </row>
    <row r="797" spans="1:5" x14ac:dyDescent="0.25">
      <c r="A797" s="13">
        <v>20180518</v>
      </c>
      <c r="B797" s="13" t="str">
        <f>"030203"</f>
        <v>030203</v>
      </c>
      <c r="C797" s="13" t="s">
        <v>291</v>
      </c>
      <c r="D797" s="14">
        <v>243.05</v>
      </c>
      <c r="E797" s="13" t="s">
        <v>611</v>
      </c>
    </row>
    <row r="798" spans="1:5" x14ac:dyDescent="0.25">
      <c r="A798" s="13">
        <v>20180518</v>
      </c>
      <c r="B798" s="13" t="str">
        <f>"030204"</f>
        <v>030204</v>
      </c>
      <c r="C798" s="13" t="s">
        <v>27</v>
      </c>
      <c r="D798" s="14">
        <v>180.08</v>
      </c>
      <c r="E798" s="13" t="s">
        <v>612</v>
      </c>
    </row>
    <row r="799" spans="1:5" x14ac:dyDescent="0.25">
      <c r="A799" s="13">
        <v>20180518</v>
      </c>
      <c r="B799" s="13" t="str">
        <f>"030205"</f>
        <v>030205</v>
      </c>
      <c r="C799" s="13" t="s">
        <v>613</v>
      </c>
      <c r="D799" s="14">
        <v>1995</v>
      </c>
      <c r="E799" s="13" t="s">
        <v>614</v>
      </c>
    </row>
    <row r="800" spans="1:5" x14ac:dyDescent="0.25">
      <c r="A800" s="13">
        <v>20180518</v>
      </c>
      <c r="B800" s="13" t="str">
        <f>"030206"</f>
        <v>030206</v>
      </c>
      <c r="C800" s="13" t="s">
        <v>157</v>
      </c>
      <c r="D800" s="14">
        <v>113.27</v>
      </c>
      <c r="E800" s="13" t="s">
        <v>158</v>
      </c>
    </row>
    <row r="801" spans="1:5" x14ac:dyDescent="0.25">
      <c r="A801" s="13">
        <v>20180518</v>
      </c>
      <c r="B801" s="13" t="str">
        <f>"030207"</f>
        <v>030207</v>
      </c>
      <c r="C801" s="13" t="s">
        <v>298</v>
      </c>
      <c r="D801" s="14">
        <v>112.48</v>
      </c>
      <c r="E801" s="13" t="s">
        <v>615</v>
      </c>
    </row>
    <row r="802" spans="1:5" x14ac:dyDescent="0.25">
      <c r="A802" s="13">
        <v>20180518</v>
      </c>
      <c r="B802" s="13" t="str">
        <f>"030208"</f>
        <v>030208</v>
      </c>
      <c r="C802" s="13" t="s">
        <v>76</v>
      </c>
      <c r="D802" s="14">
        <v>213.94</v>
      </c>
      <c r="E802" s="13" t="s">
        <v>77</v>
      </c>
    </row>
    <row r="803" spans="1:5" x14ac:dyDescent="0.25">
      <c r="A803" s="13">
        <v>20180518</v>
      </c>
      <c r="B803" s="13" t="str">
        <f>"030209"</f>
        <v>030209</v>
      </c>
      <c r="C803" s="13" t="s">
        <v>616</v>
      </c>
      <c r="D803" s="14">
        <v>72.900000000000006</v>
      </c>
      <c r="E803" s="13" t="s">
        <v>617</v>
      </c>
    </row>
    <row r="804" spans="1:5" x14ac:dyDescent="0.25">
      <c r="A804" s="13">
        <v>20180518</v>
      </c>
      <c r="B804" s="13" t="str">
        <f>"030210"</f>
        <v>030210</v>
      </c>
      <c r="C804" s="13" t="s">
        <v>584</v>
      </c>
      <c r="D804" s="14">
        <v>90.42</v>
      </c>
      <c r="E804" s="13" t="s">
        <v>618</v>
      </c>
    </row>
    <row r="805" spans="1:5" x14ac:dyDescent="0.25">
      <c r="A805" s="13">
        <v>20180518</v>
      </c>
      <c r="B805" s="13" t="str">
        <f>"030210"</f>
        <v>030210</v>
      </c>
      <c r="C805" s="13" t="s">
        <v>584</v>
      </c>
      <c r="D805" s="14">
        <v>76.599999999999994</v>
      </c>
      <c r="E805" s="13" t="s">
        <v>618</v>
      </c>
    </row>
    <row r="806" spans="1:5" x14ac:dyDescent="0.25">
      <c r="A806" s="13">
        <v>20180518</v>
      </c>
      <c r="B806" s="13" t="str">
        <f>"030212"</f>
        <v>030212</v>
      </c>
      <c r="C806" s="13" t="s">
        <v>2</v>
      </c>
      <c r="D806" s="14">
        <v>59.97</v>
      </c>
      <c r="E806" s="13" t="s">
        <v>619</v>
      </c>
    </row>
    <row r="807" spans="1:5" x14ac:dyDescent="0.25">
      <c r="A807" s="13">
        <v>20180518</v>
      </c>
      <c r="B807" s="13" t="str">
        <f>"030212"</f>
        <v>030212</v>
      </c>
      <c r="C807" s="13" t="s">
        <v>2</v>
      </c>
      <c r="D807" s="14">
        <v>12.38</v>
      </c>
      <c r="E807" s="13" t="s">
        <v>620</v>
      </c>
    </row>
    <row r="808" spans="1:5" x14ac:dyDescent="0.25">
      <c r="A808" s="13">
        <v>20180518</v>
      </c>
      <c r="B808" s="13" t="str">
        <f>"030212"</f>
        <v>030212</v>
      </c>
      <c r="C808" s="13" t="s">
        <v>2</v>
      </c>
      <c r="D808" s="14">
        <v>636.55999999999995</v>
      </c>
      <c r="E808" s="13" t="s">
        <v>621</v>
      </c>
    </row>
    <row r="809" spans="1:5" x14ac:dyDescent="0.25">
      <c r="A809" s="13">
        <v>20180518</v>
      </c>
      <c r="B809" s="13" t="str">
        <f>"030212"</f>
        <v>030212</v>
      </c>
      <c r="C809" s="13" t="s">
        <v>2</v>
      </c>
      <c r="D809" s="14">
        <v>111.48</v>
      </c>
      <c r="E809" s="13" t="s">
        <v>621</v>
      </c>
    </row>
    <row r="810" spans="1:5" x14ac:dyDescent="0.25">
      <c r="A810" s="13">
        <v>20180518</v>
      </c>
      <c r="B810" s="13" t="str">
        <f>"030212"</f>
        <v>030212</v>
      </c>
      <c r="C810" s="13" t="s">
        <v>2</v>
      </c>
      <c r="D810" s="14">
        <v>20</v>
      </c>
      <c r="E810" s="13" t="s">
        <v>622</v>
      </c>
    </row>
    <row r="811" spans="1:5" x14ac:dyDescent="0.25">
      <c r="A811" s="13">
        <v>20180518</v>
      </c>
      <c r="B811" s="13" t="str">
        <f>"030213"</f>
        <v>030213</v>
      </c>
      <c r="C811" s="13" t="s">
        <v>42</v>
      </c>
      <c r="D811" s="14">
        <v>9.7899999999999991</v>
      </c>
      <c r="E811" s="13" t="s">
        <v>481</v>
      </c>
    </row>
    <row r="812" spans="1:5" x14ac:dyDescent="0.25">
      <c r="A812" s="13">
        <v>20180518</v>
      </c>
      <c r="B812" s="13" t="str">
        <f>"030214"</f>
        <v>030214</v>
      </c>
      <c r="C812" s="13" t="s">
        <v>99</v>
      </c>
      <c r="D812" s="14">
        <v>39.979999999999997</v>
      </c>
      <c r="E812" s="13" t="s">
        <v>623</v>
      </c>
    </row>
    <row r="813" spans="1:5" x14ac:dyDescent="0.25">
      <c r="A813" s="13">
        <v>20180518</v>
      </c>
      <c r="B813" s="13" t="str">
        <f>"030214"</f>
        <v>030214</v>
      </c>
      <c r="C813" s="13" t="s">
        <v>99</v>
      </c>
      <c r="D813" s="14">
        <v>39.96</v>
      </c>
      <c r="E813" s="13" t="s">
        <v>624</v>
      </c>
    </row>
    <row r="814" spans="1:5" x14ac:dyDescent="0.25">
      <c r="A814" s="13">
        <v>20180518</v>
      </c>
      <c r="B814" s="13" t="str">
        <f>"030214"</f>
        <v>030214</v>
      </c>
      <c r="C814" s="13" t="s">
        <v>99</v>
      </c>
      <c r="D814" s="14">
        <v>32.25</v>
      </c>
      <c r="E814" s="13" t="s">
        <v>625</v>
      </c>
    </row>
    <row r="815" spans="1:5" x14ac:dyDescent="0.25">
      <c r="A815" s="13">
        <v>20180518</v>
      </c>
      <c r="B815" s="13" t="str">
        <f>"030214"</f>
        <v>030214</v>
      </c>
      <c r="C815" s="13" t="s">
        <v>99</v>
      </c>
      <c r="D815" s="14">
        <v>2.7</v>
      </c>
      <c r="E815" s="13" t="s">
        <v>481</v>
      </c>
    </row>
    <row r="816" spans="1:5" x14ac:dyDescent="0.25">
      <c r="A816" s="13">
        <v>20180518</v>
      </c>
      <c r="B816" s="13" t="str">
        <f>"030214"</f>
        <v>030214</v>
      </c>
      <c r="C816" s="13" t="s">
        <v>99</v>
      </c>
      <c r="D816" s="14">
        <v>1.19</v>
      </c>
      <c r="E816" s="13" t="s">
        <v>481</v>
      </c>
    </row>
    <row r="817" spans="1:5" x14ac:dyDescent="0.25">
      <c r="A817" s="13">
        <v>20180518</v>
      </c>
      <c r="B817" s="13" t="str">
        <f>"030215"</f>
        <v>030215</v>
      </c>
      <c r="C817" s="13" t="s">
        <v>58</v>
      </c>
      <c r="D817" s="14">
        <v>55.88</v>
      </c>
      <c r="E817" s="13" t="s">
        <v>463</v>
      </c>
    </row>
    <row r="818" spans="1:5" x14ac:dyDescent="0.25">
      <c r="A818" s="13">
        <v>20180518</v>
      </c>
      <c r="B818" s="13" t="str">
        <f>"030215"</f>
        <v>030215</v>
      </c>
      <c r="C818" s="13" t="s">
        <v>58</v>
      </c>
      <c r="D818" s="14">
        <v>324.74</v>
      </c>
      <c r="E818" s="13" t="s">
        <v>626</v>
      </c>
    </row>
    <row r="819" spans="1:5" x14ac:dyDescent="0.25">
      <c r="A819" s="13">
        <v>20180518</v>
      </c>
      <c r="B819" s="13" t="str">
        <f>"030216"</f>
        <v>030216</v>
      </c>
      <c r="C819" s="13" t="s">
        <v>18</v>
      </c>
      <c r="D819" s="14">
        <v>306.19</v>
      </c>
      <c r="E819" s="13" t="s">
        <v>627</v>
      </c>
    </row>
    <row r="820" spans="1:5" x14ac:dyDescent="0.25">
      <c r="A820" s="13">
        <v>20180518</v>
      </c>
      <c r="B820" s="13" t="str">
        <f>"030216"</f>
        <v>030216</v>
      </c>
      <c r="C820" s="13" t="s">
        <v>18</v>
      </c>
      <c r="D820" s="14">
        <v>281.95</v>
      </c>
      <c r="E820" s="13" t="s">
        <v>627</v>
      </c>
    </row>
    <row r="821" spans="1:5" x14ac:dyDescent="0.25">
      <c r="A821" s="13">
        <v>20180518</v>
      </c>
      <c r="B821" s="13" t="str">
        <f>"030216"</f>
        <v>030216</v>
      </c>
      <c r="C821" s="13" t="s">
        <v>18</v>
      </c>
      <c r="D821" s="14">
        <v>11.99</v>
      </c>
      <c r="E821" s="13" t="s">
        <v>627</v>
      </c>
    </row>
    <row r="822" spans="1:5" x14ac:dyDescent="0.25">
      <c r="A822" s="13">
        <v>20180518</v>
      </c>
      <c r="B822" s="13" t="str">
        <f>"030217"</f>
        <v>030217</v>
      </c>
      <c r="C822" s="13" t="s">
        <v>628</v>
      </c>
      <c r="D822" s="14">
        <v>1008.63</v>
      </c>
      <c r="E822" s="13" t="s">
        <v>629</v>
      </c>
    </row>
    <row r="823" spans="1:5" x14ac:dyDescent="0.25">
      <c r="A823" s="13">
        <v>20180518</v>
      </c>
      <c r="B823" s="13" t="str">
        <f>"030218"</f>
        <v>030218</v>
      </c>
      <c r="C823" s="13" t="s">
        <v>235</v>
      </c>
      <c r="D823" s="14">
        <v>1285</v>
      </c>
      <c r="E823" s="13" t="s">
        <v>236</v>
      </c>
    </row>
    <row r="824" spans="1:5" x14ac:dyDescent="0.25">
      <c r="A824" s="13">
        <v>20180523</v>
      </c>
      <c r="B824" s="13" t="str">
        <f>"030219"</f>
        <v>030219</v>
      </c>
      <c r="C824" s="13" t="s">
        <v>74</v>
      </c>
      <c r="D824" s="14">
        <v>11.82</v>
      </c>
      <c r="E824" s="13" t="s">
        <v>75</v>
      </c>
    </row>
    <row r="825" spans="1:5" x14ac:dyDescent="0.25">
      <c r="A825" s="13">
        <v>20180523</v>
      </c>
      <c r="B825" s="13" t="str">
        <f>"030220"</f>
        <v>030220</v>
      </c>
      <c r="C825" s="13" t="s">
        <v>144</v>
      </c>
      <c r="D825" s="14">
        <v>365</v>
      </c>
      <c r="E825" s="13" t="s">
        <v>630</v>
      </c>
    </row>
    <row r="826" spans="1:5" x14ac:dyDescent="0.25">
      <c r="A826" s="13">
        <v>20180523</v>
      </c>
      <c r="B826" s="13" t="str">
        <f>"030221"</f>
        <v>030221</v>
      </c>
      <c r="C826" s="13" t="s">
        <v>80</v>
      </c>
      <c r="D826" s="14">
        <v>127.09</v>
      </c>
      <c r="E826" s="13" t="s">
        <v>81</v>
      </c>
    </row>
    <row r="827" spans="1:5" x14ac:dyDescent="0.25">
      <c r="A827" s="13">
        <v>20180523</v>
      </c>
      <c r="B827" s="13" t="str">
        <f>"030222"</f>
        <v>030222</v>
      </c>
      <c r="C827" s="13" t="s">
        <v>447</v>
      </c>
      <c r="D827" s="14">
        <v>50</v>
      </c>
      <c r="E827" s="13" t="s">
        <v>631</v>
      </c>
    </row>
    <row r="828" spans="1:5" x14ac:dyDescent="0.25">
      <c r="A828" s="13">
        <v>20180523</v>
      </c>
      <c r="B828" s="13" t="str">
        <f>"030222"</f>
        <v>030222</v>
      </c>
      <c r="C828" s="13" t="s">
        <v>447</v>
      </c>
      <c r="D828" s="14">
        <v>100</v>
      </c>
      <c r="E828" s="13" t="s">
        <v>632</v>
      </c>
    </row>
    <row r="829" spans="1:5" x14ac:dyDescent="0.25">
      <c r="A829" s="13">
        <v>20180523</v>
      </c>
      <c r="B829" s="13" t="str">
        <f>"030223"</f>
        <v>030223</v>
      </c>
      <c r="C829" s="13" t="s">
        <v>224</v>
      </c>
      <c r="D829" s="14">
        <v>42</v>
      </c>
      <c r="E829" s="13" t="s">
        <v>633</v>
      </c>
    </row>
    <row r="830" spans="1:5" x14ac:dyDescent="0.25">
      <c r="A830" s="13">
        <v>20180523</v>
      </c>
      <c r="B830" s="13" t="str">
        <f>"030224"</f>
        <v>030224</v>
      </c>
      <c r="C830" s="13" t="s">
        <v>42</v>
      </c>
      <c r="D830" s="14">
        <v>357.24</v>
      </c>
      <c r="E830" s="13" t="s">
        <v>634</v>
      </c>
    </row>
    <row r="831" spans="1:5" x14ac:dyDescent="0.25">
      <c r="A831" s="13">
        <v>20180523</v>
      </c>
      <c r="B831" s="13" t="str">
        <f>"030224"</f>
        <v>030224</v>
      </c>
      <c r="C831" s="13" t="s">
        <v>42</v>
      </c>
      <c r="D831" s="14">
        <v>292.17</v>
      </c>
      <c r="E831" s="13" t="s">
        <v>635</v>
      </c>
    </row>
    <row r="832" spans="1:5" x14ac:dyDescent="0.25">
      <c r="A832" s="13">
        <v>20180523</v>
      </c>
      <c r="B832" s="13" t="str">
        <f>"030224"</f>
        <v>030224</v>
      </c>
      <c r="C832" s="13" t="s">
        <v>42</v>
      </c>
      <c r="D832" s="14">
        <v>13.16</v>
      </c>
      <c r="E832" s="13" t="s">
        <v>481</v>
      </c>
    </row>
    <row r="833" spans="1:5" x14ac:dyDescent="0.25">
      <c r="A833" s="13">
        <v>20180523</v>
      </c>
      <c r="B833" s="13" t="str">
        <f>"030225"</f>
        <v>030225</v>
      </c>
      <c r="C833" s="13" t="s">
        <v>636</v>
      </c>
      <c r="D833" s="14">
        <v>965</v>
      </c>
      <c r="E833" s="13" t="s">
        <v>637</v>
      </c>
    </row>
    <row r="834" spans="1:5" x14ac:dyDescent="0.25">
      <c r="A834" s="13">
        <v>20180523</v>
      </c>
      <c r="B834" s="13" t="str">
        <f>"030226"</f>
        <v>030226</v>
      </c>
      <c r="C834" s="13" t="s">
        <v>638</v>
      </c>
      <c r="D834" s="14">
        <v>300</v>
      </c>
      <c r="E834" s="13" t="s">
        <v>639</v>
      </c>
    </row>
    <row r="835" spans="1:5" x14ac:dyDescent="0.25">
      <c r="A835" s="13">
        <v>20180523</v>
      </c>
      <c r="B835" s="13" t="str">
        <f>"030226"</f>
        <v>030226</v>
      </c>
      <c r="C835" s="13" t="s">
        <v>638</v>
      </c>
      <c r="D835" s="14">
        <v>500</v>
      </c>
      <c r="E835" s="13" t="s">
        <v>640</v>
      </c>
    </row>
    <row r="836" spans="1:5" x14ac:dyDescent="0.25">
      <c r="A836" s="13">
        <v>20180523</v>
      </c>
      <c r="B836" s="13" t="str">
        <f>"030227"</f>
        <v>030227</v>
      </c>
      <c r="C836" s="13" t="s">
        <v>18</v>
      </c>
      <c r="D836" s="14">
        <v>275.97000000000003</v>
      </c>
      <c r="E836" s="13" t="s">
        <v>641</v>
      </c>
    </row>
    <row r="837" spans="1:5" x14ac:dyDescent="0.25">
      <c r="A837" s="13">
        <v>20180523</v>
      </c>
      <c r="B837" s="13" t="str">
        <f>"030227"</f>
        <v>030227</v>
      </c>
      <c r="C837" s="13" t="s">
        <v>18</v>
      </c>
      <c r="D837" s="14">
        <v>269.99</v>
      </c>
      <c r="E837" s="13" t="s">
        <v>642</v>
      </c>
    </row>
    <row r="838" spans="1:5" x14ac:dyDescent="0.25">
      <c r="A838" s="13">
        <v>20180523</v>
      </c>
      <c r="B838" s="13" t="str">
        <f>"030228"</f>
        <v>030228</v>
      </c>
      <c r="C838" s="13" t="s">
        <v>8</v>
      </c>
      <c r="D838" s="14">
        <v>25</v>
      </c>
      <c r="E838" s="13" t="s">
        <v>643</v>
      </c>
    </row>
    <row r="839" spans="1:5" x14ac:dyDescent="0.25">
      <c r="A839" s="13">
        <v>20180531</v>
      </c>
      <c r="B839" s="13" t="str">
        <f>"030230"</f>
        <v>030230</v>
      </c>
      <c r="C839" s="13" t="s">
        <v>86</v>
      </c>
      <c r="D839" s="14">
        <v>700</v>
      </c>
      <c r="E839" s="13" t="s">
        <v>644</v>
      </c>
    </row>
    <row r="840" spans="1:5" x14ac:dyDescent="0.25">
      <c r="A840" s="13">
        <v>20180531</v>
      </c>
      <c r="B840" s="13" t="str">
        <f>"030230"</f>
        <v>030230</v>
      </c>
      <c r="C840" s="13" t="s">
        <v>86</v>
      </c>
      <c r="D840" s="14">
        <v>112.75</v>
      </c>
      <c r="E840" s="13" t="s">
        <v>645</v>
      </c>
    </row>
    <row r="841" spans="1:5" x14ac:dyDescent="0.25">
      <c r="A841" s="13">
        <v>20180531</v>
      </c>
      <c r="B841" s="13" t="str">
        <f>"030230"</f>
        <v>030230</v>
      </c>
      <c r="C841" s="13" t="s">
        <v>86</v>
      </c>
      <c r="D841" s="14">
        <v>192.1</v>
      </c>
      <c r="E841" s="13" t="s">
        <v>646</v>
      </c>
    </row>
    <row r="842" spans="1:5" x14ac:dyDescent="0.25">
      <c r="A842" s="13">
        <v>20180531</v>
      </c>
      <c r="B842" s="13" t="str">
        <f t="shared" ref="B842:B867" si="14">"030231"</f>
        <v>030231</v>
      </c>
      <c r="C842" s="13" t="s">
        <v>2</v>
      </c>
      <c r="D842" s="14">
        <v>102.54</v>
      </c>
      <c r="E842" s="13" t="s">
        <v>647</v>
      </c>
    </row>
    <row r="843" spans="1:5" x14ac:dyDescent="0.25">
      <c r="A843" s="13">
        <v>20180531</v>
      </c>
      <c r="B843" s="13" t="str">
        <f t="shared" si="14"/>
        <v>030231</v>
      </c>
      <c r="C843" s="13" t="s">
        <v>2</v>
      </c>
      <c r="D843" s="14">
        <v>43.72</v>
      </c>
      <c r="E843" s="13" t="s">
        <v>648</v>
      </c>
    </row>
    <row r="844" spans="1:5" x14ac:dyDescent="0.25">
      <c r="A844" s="13">
        <v>20180531</v>
      </c>
      <c r="B844" s="13" t="str">
        <f t="shared" si="14"/>
        <v>030231</v>
      </c>
      <c r="C844" s="13" t="s">
        <v>2</v>
      </c>
      <c r="D844" s="14">
        <v>50.01</v>
      </c>
      <c r="E844" s="13" t="s">
        <v>649</v>
      </c>
    </row>
    <row r="845" spans="1:5" x14ac:dyDescent="0.25">
      <c r="A845" s="13">
        <v>20180531</v>
      </c>
      <c r="B845" s="13" t="str">
        <f t="shared" si="14"/>
        <v>030231</v>
      </c>
      <c r="C845" s="13" t="s">
        <v>2</v>
      </c>
      <c r="D845" s="14">
        <v>64.8</v>
      </c>
      <c r="E845" s="13" t="s">
        <v>649</v>
      </c>
    </row>
    <row r="846" spans="1:5" x14ac:dyDescent="0.25">
      <c r="A846" s="13">
        <v>20180531</v>
      </c>
      <c r="B846" s="13" t="str">
        <f t="shared" si="14"/>
        <v>030231</v>
      </c>
      <c r="C846" s="13" t="s">
        <v>2</v>
      </c>
      <c r="D846" s="14">
        <v>53.24</v>
      </c>
      <c r="E846" s="13" t="s">
        <v>649</v>
      </c>
    </row>
    <row r="847" spans="1:5" x14ac:dyDescent="0.25">
      <c r="A847" s="13">
        <v>20180531</v>
      </c>
      <c r="B847" s="13" t="str">
        <f t="shared" si="14"/>
        <v>030231</v>
      </c>
      <c r="C847" s="13" t="s">
        <v>2</v>
      </c>
      <c r="D847" s="14">
        <v>68.8</v>
      </c>
      <c r="E847" s="13" t="s">
        <v>649</v>
      </c>
    </row>
    <row r="848" spans="1:5" x14ac:dyDescent="0.25">
      <c r="A848" s="13">
        <v>20180531</v>
      </c>
      <c r="B848" s="13" t="str">
        <f t="shared" si="14"/>
        <v>030231</v>
      </c>
      <c r="C848" s="13" t="s">
        <v>2</v>
      </c>
      <c r="D848" s="14">
        <v>77.25</v>
      </c>
      <c r="E848" s="13" t="s">
        <v>649</v>
      </c>
    </row>
    <row r="849" spans="1:5" x14ac:dyDescent="0.25">
      <c r="A849" s="13">
        <v>20180531</v>
      </c>
      <c r="B849" s="13" t="str">
        <f t="shared" si="14"/>
        <v>030231</v>
      </c>
      <c r="C849" s="13" t="s">
        <v>2</v>
      </c>
      <c r="D849" s="14">
        <v>115.5</v>
      </c>
      <c r="E849" s="13" t="s">
        <v>649</v>
      </c>
    </row>
    <row r="850" spans="1:5" x14ac:dyDescent="0.25">
      <c r="A850" s="13">
        <v>20180531</v>
      </c>
      <c r="B850" s="13" t="str">
        <f t="shared" si="14"/>
        <v>030231</v>
      </c>
      <c r="C850" s="13" t="s">
        <v>2</v>
      </c>
      <c r="D850" s="14">
        <v>60.02</v>
      </c>
      <c r="E850" s="13" t="s">
        <v>649</v>
      </c>
    </row>
    <row r="851" spans="1:5" x14ac:dyDescent="0.25">
      <c r="A851" s="13">
        <v>20180531</v>
      </c>
      <c r="B851" s="13" t="str">
        <f t="shared" si="14"/>
        <v>030231</v>
      </c>
      <c r="C851" s="13" t="s">
        <v>2</v>
      </c>
      <c r="D851" s="14">
        <v>58</v>
      </c>
      <c r="E851" s="13" t="s">
        <v>649</v>
      </c>
    </row>
    <row r="852" spans="1:5" x14ac:dyDescent="0.25">
      <c r="A852" s="13">
        <v>20180531</v>
      </c>
      <c r="B852" s="13" t="str">
        <f t="shared" si="14"/>
        <v>030231</v>
      </c>
      <c r="C852" s="13" t="s">
        <v>2</v>
      </c>
      <c r="D852" s="14">
        <v>106.2</v>
      </c>
      <c r="E852" s="13" t="s">
        <v>649</v>
      </c>
    </row>
    <row r="853" spans="1:5" x14ac:dyDescent="0.25">
      <c r="A853" s="13">
        <v>20180531</v>
      </c>
      <c r="B853" s="13" t="str">
        <f t="shared" si="14"/>
        <v>030231</v>
      </c>
      <c r="C853" s="13" t="s">
        <v>2</v>
      </c>
      <c r="D853" s="14">
        <v>94</v>
      </c>
      <c r="E853" s="13" t="s">
        <v>649</v>
      </c>
    </row>
    <row r="854" spans="1:5" x14ac:dyDescent="0.25">
      <c r="A854" s="13">
        <v>20180531</v>
      </c>
      <c r="B854" s="13" t="str">
        <f t="shared" si="14"/>
        <v>030231</v>
      </c>
      <c r="C854" s="13" t="s">
        <v>2</v>
      </c>
      <c r="D854" s="14">
        <v>40.159999999999997</v>
      </c>
      <c r="E854" s="13" t="s">
        <v>649</v>
      </c>
    </row>
    <row r="855" spans="1:5" x14ac:dyDescent="0.25">
      <c r="A855" s="13">
        <v>20180531</v>
      </c>
      <c r="B855" s="13" t="str">
        <f t="shared" si="14"/>
        <v>030231</v>
      </c>
      <c r="C855" s="13" t="s">
        <v>2</v>
      </c>
      <c r="D855" s="14">
        <v>10.59</v>
      </c>
      <c r="E855" s="13" t="s">
        <v>649</v>
      </c>
    </row>
    <row r="856" spans="1:5" x14ac:dyDescent="0.25">
      <c r="A856" s="13">
        <v>20180531</v>
      </c>
      <c r="B856" s="13" t="str">
        <f t="shared" si="14"/>
        <v>030231</v>
      </c>
      <c r="C856" s="13" t="s">
        <v>2</v>
      </c>
      <c r="D856" s="14">
        <v>105.48</v>
      </c>
      <c r="E856" s="13" t="s">
        <v>649</v>
      </c>
    </row>
    <row r="857" spans="1:5" x14ac:dyDescent="0.25">
      <c r="A857" s="13">
        <v>20180531</v>
      </c>
      <c r="B857" s="13" t="str">
        <f t="shared" si="14"/>
        <v>030231</v>
      </c>
      <c r="C857" s="13" t="s">
        <v>2</v>
      </c>
      <c r="D857" s="14">
        <v>48</v>
      </c>
      <c r="E857" s="13" t="s">
        <v>650</v>
      </c>
    </row>
    <row r="858" spans="1:5" x14ac:dyDescent="0.25">
      <c r="A858" s="13">
        <v>20180531</v>
      </c>
      <c r="B858" s="13" t="str">
        <f t="shared" si="14"/>
        <v>030231</v>
      </c>
      <c r="C858" s="13" t="s">
        <v>2</v>
      </c>
      <c r="D858" s="14">
        <v>10</v>
      </c>
      <c r="E858" s="13" t="s">
        <v>651</v>
      </c>
    </row>
    <row r="859" spans="1:5" x14ac:dyDescent="0.25">
      <c r="A859" s="13">
        <v>20180531</v>
      </c>
      <c r="B859" s="13" t="str">
        <f t="shared" si="14"/>
        <v>030231</v>
      </c>
      <c r="C859" s="13" t="s">
        <v>2</v>
      </c>
      <c r="D859" s="14">
        <v>110.87</v>
      </c>
      <c r="E859" s="13" t="s">
        <v>652</v>
      </c>
    </row>
    <row r="860" spans="1:5" x14ac:dyDescent="0.25">
      <c r="A860" s="13">
        <v>20180531</v>
      </c>
      <c r="B860" s="13" t="str">
        <f t="shared" si="14"/>
        <v>030231</v>
      </c>
      <c r="C860" s="13" t="s">
        <v>2</v>
      </c>
      <c r="D860" s="14">
        <v>15</v>
      </c>
      <c r="E860" s="13" t="s">
        <v>653</v>
      </c>
    </row>
    <row r="861" spans="1:5" x14ac:dyDescent="0.25">
      <c r="A861" s="13">
        <v>20180531</v>
      </c>
      <c r="B861" s="13" t="str">
        <f t="shared" si="14"/>
        <v>030231</v>
      </c>
      <c r="C861" s="13" t="s">
        <v>2</v>
      </c>
      <c r="D861" s="14">
        <v>43.17</v>
      </c>
      <c r="E861" s="13" t="s">
        <v>653</v>
      </c>
    </row>
    <row r="862" spans="1:5" x14ac:dyDescent="0.25">
      <c r="A862" s="13">
        <v>20180531</v>
      </c>
      <c r="B862" s="13" t="str">
        <f t="shared" si="14"/>
        <v>030231</v>
      </c>
      <c r="C862" s="13" t="s">
        <v>2</v>
      </c>
      <c r="D862" s="14">
        <v>46.17</v>
      </c>
      <c r="E862" s="13" t="s">
        <v>654</v>
      </c>
    </row>
    <row r="863" spans="1:5" x14ac:dyDescent="0.25">
      <c r="A863" s="13">
        <v>20180531</v>
      </c>
      <c r="B863" s="13" t="str">
        <f t="shared" si="14"/>
        <v>030231</v>
      </c>
      <c r="C863" s="13" t="s">
        <v>2</v>
      </c>
      <c r="D863" s="14">
        <v>60</v>
      </c>
      <c r="E863" s="13" t="s">
        <v>655</v>
      </c>
    </row>
    <row r="864" spans="1:5" x14ac:dyDescent="0.25">
      <c r="A864" s="13">
        <v>20180531</v>
      </c>
      <c r="B864" s="13" t="str">
        <f t="shared" si="14"/>
        <v>030231</v>
      </c>
      <c r="C864" s="13" t="s">
        <v>2</v>
      </c>
      <c r="D864" s="14">
        <v>57.73</v>
      </c>
      <c r="E864" s="13" t="s">
        <v>656</v>
      </c>
    </row>
    <row r="865" spans="1:5" x14ac:dyDescent="0.25">
      <c r="A865" s="13">
        <v>20180531</v>
      </c>
      <c r="B865" s="13" t="str">
        <f t="shared" si="14"/>
        <v>030231</v>
      </c>
      <c r="C865" s="13" t="s">
        <v>2</v>
      </c>
      <c r="D865" s="14">
        <v>21.6</v>
      </c>
      <c r="E865" s="13" t="s">
        <v>656</v>
      </c>
    </row>
    <row r="866" spans="1:5" x14ac:dyDescent="0.25">
      <c r="A866" s="13">
        <v>20180531</v>
      </c>
      <c r="B866" s="13" t="str">
        <f t="shared" si="14"/>
        <v>030231</v>
      </c>
      <c r="C866" s="13" t="s">
        <v>2</v>
      </c>
      <c r="D866" s="14">
        <v>14.02</v>
      </c>
      <c r="E866" s="13" t="s">
        <v>657</v>
      </c>
    </row>
    <row r="867" spans="1:5" x14ac:dyDescent="0.25">
      <c r="A867" s="13">
        <v>20180531</v>
      </c>
      <c r="B867" s="13" t="str">
        <f t="shared" si="14"/>
        <v>030231</v>
      </c>
      <c r="C867" s="13" t="s">
        <v>2</v>
      </c>
      <c r="D867" s="14">
        <v>111.13</v>
      </c>
      <c r="E867" s="13" t="s">
        <v>658</v>
      </c>
    </row>
    <row r="868" spans="1:5" x14ac:dyDescent="0.25">
      <c r="A868" s="13">
        <v>20180531</v>
      </c>
      <c r="B868" s="13" t="str">
        <f>"030232"</f>
        <v>030232</v>
      </c>
      <c r="C868" s="13" t="s">
        <v>18</v>
      </c>
      <c r="D868" s="14">
        <v>19.989999999999998</v>
      </c>
      <c r="E868" s="13" t="s">
        <v>659</v>
      </c>
    </row>
    <row r="869" spans="1:5" x14ac:dyDescent="0.25">
      <c r="A869" s="13">
        <v>20180531</v>
      </c>
      <c r="B869" s="13" t="str">
        <f>"030232"</f>
        <v>030232</v>
      </c>
      <c r="C869" s="13" t="s">
        <v>18</v>
      </c>
      <c r="D869" s="14">
        <v>21.18</v>
      </c>
      <c r="E869" s="13" t="s">
        <v>659</v>
      </c>
    </row>
    <row r="870" spans="1:5" x14ac:dyDescent="0.25">
      <c r="A870" s="13">
        <v>20180531</v>
      </c>
      <c r="B870" s="13" t="str">
        <f>"030232"</f>
        <v>030232</v>
      </c>
      <c r="C870" s="13" t="s">
        <v>18</v>
      </c>
      <c r="D870" s="14">
        <v>37.28</v>
      </c>
      <c r="E870" s="13" t="s">
        <v>659</v>
      </c>
    </row>
    <row r="871" spans="1:5" x14ac:dyDescent="0.25">
      <c r="C871" s="11" t="s">
        <v>788</v>
      </c>
      <c r="D871" s="12">
        <f>SUM(D748:D870)</f>
        <v>26666.52</v>
      </c>
    </row>
    <row r="872" spans="1:5" x14ac:dyDescent="0.25">
      <c r="A872" s="13">
        <v>20180612</v>
      </c>
      <c r="B872" s="13" t="str">
        <f>"030238"</f>
        <v>030238</v>
      </c>
      <c r="C872" s="13" t="s">
        <v>144</v>
      </c>
      <c r="D872" s="14">
        <v>177</v>
      </c>
      <c r="E872" s="13" t="s">
        <v>660</v>
      </c>
    </row>
    <row r="873" spans="1:5" x14ac:dyDescent="0.25">
      <c r="A873" s="13">
        <v>20180612</v>
      </c>
      <c r="B873" s="13" t="str">
        <f>"030239"</f>
        <v>030239</v>
      </c>
      <c r="C873" s="13" t="s">
        <v>162</v>
      </c>
      <c r="D873" s="14">
        <v>4200.53</v>
      </c>
      <c r="E873" s="13" t="s">
        <v>163</v>
      </c>
    </row>
    <row r="874" spans="1:5" x14ac:dyDescent="0.25">
      <c r="A874" s="13">
        <v>20180612</v>
      </c>
      <c r="B874" s="13" t="str">
        <f>"030241"</f>
        <v>030241</v>
      </c>
      <c r="C874" s="13" t="s">
        <v>333</v>
      </c>
      <c r="D874" s="14">
        <v>408</v>
      </c>
      <c r="E874" s="13" t="s">
        <v>334</v>
      </c>
    </row>
    <row r="875" spans="1:5" x14ac:dyDescent="0.25">
      <c r="A875" s="13">
        <v>20180612</v>
      </c>
      <c r="B875" s="13" t="str">
        <f>"030242"</f>
        <v>030242</v>
      </c>
      <c r="C875" s="13" t="s">
        <v>123</v>
      </c>
      <c r="D875" s="14">
        <v>1179.04</v>
      </c>
      <c r="E875" s="13" t="s">
        <v>124</v>
      </c>
    </row>
    <row r="876" spans="1:5" x14ac:dyDescent="0.25">
      <c r="A876" s="13">
        <v>20180612</v>
      </c>
      <c r="B876" s="13" t="str">
        <f>"030243"</f>
        <v>030243</v>
      </c>
      <c r="C876" s="13" t="s">
        <v>4</v>
      </c>
      <c r="D876" s="14">
        <v>43.7</v>
      </c>
      <c r="E876" s="13" t="s">
        <v>661</v>
      </c>
    </row>
    <row r="877" spans="1:5" x14ac:dyDescent="0.25">
      <c r="A877" s="13">
        <v>20180612</v>
      </c>
      <c r="B877" s="13" t="str">
        <f>"030243"</f>
        <v>030243</v>
      </c>
      <c r="C877" s="13" t="s">
        <v>4</v>
      </c>
      <c r="D877" s="14">
        <v>28.52</v>
      </c>
      <c r="E877" s="13" t="s">
        <v>662</v>
      </c>
    </row>
    <row r="878" spans="1:5" x14ac:dyDescent="0.25">
      <c r="A878" s="13">
        <v>20180612</v>
      </c>
      <c r="B878" s="13" t="str">
        <f>"030243"</f>
        <v>030243</v>
      </c>
      <c r="C878" s="13" t="s">
        <v>4</v>
      </c>
      <c r="D878" s="14">
        <v>51.48</v>
      </c>
      <c r="E878" s="13" t="s">
        <v>663</v>
      </c>
    </row>
    <row r="879" spans="1:5" x14ac:dyDescent="0.25">
      <c r="A879" s="13">
        <v>20180612</v>
      </c>
      <c r="B879" s="13" t="str">
        <f>"030243"</f>
        <v>030243</v>
      </c>
      <c r="C879" s="13" t="s">
        <v>4</v>
      </c>
      <c r="D879" s="14">
        <v>70.45</v>
      </c>
      <c r="E879" s="13" t="s">
        <v>664</v>
      </c>
    </row>
    <row r="880" spans="1:5" x14ac:dyDescent="0.25">
      <c r="A880" s="13">
        <v>20180612</v>
      </c>
      <c r="B880" s="13" t="str">
        <f>"030244"</f>
        <v>030244</v>
      </c>
      <c r="C880" s="13" t="s">
        <v>224</v>
      </c>
      <c r="D880" s="14">
        <v>247.5</v>
      </c>
      <c r="E880" s="13" t="s">
        <v>552</v>
      </c>
    </row>
    <row r="881" spans="1:5" x14ac:dyDescent="0.25">
      <c r="A881" s="13">
        <v>20180612</v>
      </c>
      <c r="B881" s="13" t="str">
        <f>"030245"</f>
        <v>030245</v>
      </c>
      <c r="C881" s="13" t="s">
        <v>133</v>
      </c>
      <c r="D881" s="14">
        <v>645.6</v>
      </c>
      <c r="E881" s="13" t="s">
        <v>134</v>
      </c>
    </row>
    <row r="882" spans="1:5" x14ac:dyDescent="0.25">
      <c r="A882" s="13">
        <v>20180612</v>
      </c>
      <c r="B882" s="13" t="str">
        <f>"030247"</f>
        <v>030247</v>
      </c>
      <c r="C882" s="13" t="s">
        <v>385</v>
      </c>
      <c r="D882" s="14">
        <v>100</v>
      </c>
      <c r="E882" s="13" t="s">
        <v>141</v>
      </c>
    </row>
    <row r="883" spans="1:5" x14ac:dyDescent="0.25">
      <c r="A883" s="13">
        <v>20180612</v>
      </c>
      <c r="B883" s="13" t="str">
        <f>"030247"</f>
        <v>030247</v>
      </c>
      <c r="C883" s="13" t="s">
        <v>385</v>
      </c>
      <c r="D883" s="14">
        <v>50</v>
      </c>
      <c r="E883" s="13" t="s">
        <v>141</v>
      </c>
    </row>
    <row r="884" spans="1:5" x14ac:dyDescent="0.25">
      <c r="A884" s="13">
        <v>20180612</v>
      </c>
      <c r="B884" s="13" t="str">
        <f>"030247"</f>
        <v>030247</v>
      </c>
      <c r="C884" s="13" t="s">
        <v>385</v>
      </c>
      <c r="D884" s="14">
        <v>50</v>
      </c>
      <c r="E884" s="13" t="s">
        <v>141</v>
      </c>
    </row>
    <row r="885" spans="1:5" x14ac:dyDescent="0.25">
      <c r="A885" s="13">
        <v>20180612</v>
      </c>
      <c r="B885" s="13" t="str">
        <f>"030248"</f>
        <v>030248</v>
      </c>
      <c r="C885" s="13" t="s">
        <v>30</v>
      </c>
      <c r="D885" s="14">
        <v>100</v>
      </c>
      <c r="E885" s="13" t="s">
        <v>665</v>
      </c>
    </row>
    <row r="886" spans="1:5" x14ac:dyDescent="0.25">
      <c r="A886" s="13">
        <v>20180612</v>
      </c>
      <c r="B886" s="13" t="str">
        <f>"030249"</f>
        <v>030249</v>
      </c>
      <c r="C886" s="13" t="s">
        <v>110</v>
      </c>
      <c r="D886" s="14">
        <v>395</v>
      </c>
      <c r="E886" s="13" t="s">
        <v>666</v>
      </c>
    </row>
    <row r="887" spans="1:5" x14ac:dyDescent="0.25">
      <c r="A887" s="13">
        <v>20180612</v>
      </c>
      <c r="B887" s="13" t="str">
        <f>"030249"</f>
        <v>030249</v>
      </c>
      <c r="C887" s="13" t="s">
        <v>110</v>
      </c>
      <c r="D887" s="14">
        <v>1580</v>
      </c>
      <c r="E887" s="13" t="s">
        <v>667</v>
      </c>
    </row>
    <row r="888" spans="1:5" x14ac:dyDescent="0.25">
      <c r="A888" s="13">
        <v>20180612</v>
      </c>
      <c r="B888" s="13" t="str">
        <f>"030250"</f>
        <v>030250</v>
      </c>
      <c r="C888" s="13" t="s">
        <v>274</v>
      </c>
      <c r="D888" s="14">
        <v>610</v>
      </c>
      <c r="E888" s="13" t="s">
        <v>668</v>
      </c>
    </row>
    <row r="889" spans="1:5" x14ac:dyDescent="0.25">
      <c r="A889" s="13">
        <v>20180612</v>
      </c>
      <c r="B889" s="13" t="str">
        <f>"030251"</f>
        <v>030251</v>
      </c>
      <c r="C889" s="13" t="s">
        <v>68</v>
      </c>
      <c r="D889" s="14">
        <v>606.19000000000005</v>
      </c>
      <c r="E889" s="13" t="s">
        <v>669</v>
      </c>
    </row>
    <row r="890" spans="1:5" x14ac:dyDescent="0.25">
      <c r="A890" s="13">
        <v>20180612</v>
      </c>
      <c r="B890" s="13" t="str">
        <f>"030251"</f>
        <v>030251</v>
      </c>
      <c r="C890" s="13" t="s">
        <v>68</v>
      </c>
      <c r="D890" s="14">
        <v>456.19</v>
      </c>
      <c r="E890" s="13" t="s">
        <v>670</v>
      </c>
    </row>
    <row r="891" spans="1:5" x14ac:dyDescent="0.25">
      <c r="A891" s="13">
        <v>20180612</v>
      </c>
      <c r="B891" s="13" t="str">
        <f>"030252"</f>
        <v>030252</v>
      </c>
      <c r="C891" s="13" t="s">
        <v>343</v>
      </c>
      <c r="D891" s="14">
        <v>1224</v>
      </c>
      <c r="E891" s="13" t="s">
        <v>344</v>
      </c>
    </row>
    <row r="892" spans="1:5" x14ac:dyDescent="0.25">
      <c r="A892" s="13">
        <v>20180628</v>
      </c>
      <c r="B892" s="13" t="str">
        <f>"030256"</f>
        <v>030256</v>
      </c>
      <c r="C892" s="13" t="s">
        <v>291</v>
      </c>
      <c r="D892" s="14">
        <v>403.97</v>
      </c>
      <c r="E892" s="13" t="s">
        <v>671</v>
      </c>
    </row>
    <row r="893" spans="1:5" x14ac:dyDescent="0.25">
      <c r="A893" s="13">
        <v>20180628</v>
      </c>
      <c r="B893" s="13" t="str">
        <f>"030257"</f>
        <v>030257</v>
      </c>
      <c r="C893" s="13" t="s">
        <v>74</v>
      </c>
      <c r="D893" s="14">
        <v>11.82</v>
      </c>
      <c r="E893" s="13" t="s">
        <v>75</v>
      </c>
    </row>
    <row r="894" spans="1:5" x14ac:dyDescent="0.25">
      <c r="A894" s="13">
        <v>20180628</v>
      </c>
      <c r="B894" s="13" t="str">
        <f>"030258"</f>
        <v>030258</v>
      </c>
      <c r="C894" s="13" t="s">
        <v>157</v>
      </c>
      <c r="D894" s="14">
        <v>113.28</v>
      </c>
      <c r="E894" s="13" t="s">
        <v>158</v>
      </c>
    </row>
    <row r="895" spans="1:5" x14ac:dyDescent="0.25">
      <c r="A895" s="13">
        <v>20180628</v>
      </c>
      <c r="B895" s="13" t="str">
        <f>"030259"</f>
        <v>030259</v>
      </c>
      <c r="C895" s="13" t="s">
        <v>46</v>
      </c>
      <c r="D895" s="14">
        <v>489.41</v>
      </c>
      <c r="E895" s="13" t="s">
        <v>405</v>
      </c>
    </row>
    <row r="896" spans="1:5" x14ac:dyDescent="0.25">
      <c r="A896" s="13">
        <v>20180628</v>
      </c>
      <c r="B896" s="13" t="str">
        <f>"030260"</f>
        <v>030260</v>
      </c>
      <c r="C896" s="13" t="s">
        <v>164</v>
      </c>
      <c r="D896" s="14">
        <v>6979.42</v>
      </c>
      <c r="E896" s="13" t="s">
        <v>165</v>
      </c>
    </row>
    <row r="897" spans="1:5" x14ac:dyDescent="0.25">
      <c r="A897" s="13">
        <v>20180628</v>
      </c>
      <c r="B897" s="13" t="str">
        <f>"030261"</f>
        <v>030261</v>
      </c>
      <c r="C897" s="13" t="s">
        <v>76</v>
      </c>
      <c r="D897" s="14">
        <v>202.46</v>
      </c>
      <c r="E897" s="13" t="s">
        <v>77</v>
      </c>
    </row>
    <row r="898" spans="1:5" x14ac:dyDescent="0.25">
      <c r="A898" s="13">
        <v>20180628</v>
      </c>
      <c r="B898" s="13" t="str">
        <f>"030261"</f>
        <v>030261</v>
      </c>
      <c r="C898" s="13" t="s">
        <v>76</v>
      </c>
      <c r="D898" s="14">
        <v>213.94</v>
      </c>
      <c r="E898" s="13" t="s">
        <v>77</v>
      </c>
    </row>
    <row r="899" spans="1:5" x14ac:dyDescent="0.25">
      <c r="A899" s="13">
        <v>20180628</v>
      </c>
      <c r="B899" s="13" t="str">
        <f>"030261"</f>
        <v>030261</v>
      </c>
      <c r="C899" s="13" t="s">
        <v>76</v>
      </c>
      <c r="D899" s="14">
        <v>67.489999999999995</v>
      </c>
      <c r="E899" s="13" t="s">
        <v>77</v>
      </c>
    </row>
    <row r="900" spans="1:5" x14ac:dyDescent="0.25">
      <c r="A900" s="13">
        <v>20180628</v>
      </c>
      <c r="B900" s="13" t="str">
        <f>"030261"</f>
        <v>030261</v>
      </c>
      <c r="C900" s="13" t="s">
        <v>76</v>
      </c>
      <c r="D900" s="14">
        <v>67.489999999999995</v>
      </c>
      <c r="E900" s="13" t="s">
        <v>77</v>
      </c>
    </row>
    <row r="901" spans="1:5" x14ac:dyDescent="0.25">
      <c r="A901" s="13">
        <v>20180628</v>
      </c>
      <c r="B901" s="13" t="str">
        <f>"030262"</f>
        <v>030262</v>
      </c>
      <c r="C901" s="13" t="s">
        <v>123</v>
      </c>
      <c r="D901" s="14">
        <v>1667.97</v>
      </c>
      <c r="E901" s="13" t="s">
        <v>124</v>
      </c>
    </row>
    <row r="902" spans="1:5" x14ac:dyDescent="0.25">
      <c r="A902" s="13">
        <v>20180628</v>
      </c>
      <c r="B902" s="13" t="str">
        <f>"030263"</f>
        <v>030263</v>
      </c>
      <c r="C902" s="13" t="s">
        <v>80</v>
      </c>
      <c r="D902" s="14">
        <v>127.09</v>
      </c>
      <c r="E902" s="13" t="s">
        <v>81</v>
      </c>
    </row>
    <row r="903" spans="1:5" x14ac:dyDescent="0.25">
      <c r="A903" s="13">
        <v>20180628</v>
      </c>
      <c r="B903" s="13" t="str">
        <f>"030264"</f>
        <v>030264</v>
      </c>
      <c r="C903" s="13" t="s">
        <v>537</v>
      </c>
      <c r="D903" s="14">
        <v>16</v>
      </c>
      <c r="E903" s="13" t="s">
        <v>672</v>
      </c>
    </row>
    <row r="904" spans="1:5" x14ac:dyDescent="0.25">
      <c r="A904" s="13">
        <v>20180628</v>
      </c>
      <c r="B904" s="13" t="str">
        <f>"030265"</f>
        <v>030265</v>
      </c>
      <c r="C904" s="13" t="s">
        <v>586</v>
      </c>
      <c r="D904" s="14">
        <v>366.82</v>
      </c>
      <c r="E904" s="13" t="s">
        <v>673</v>
      </c>
    </row>
    <row r="905" spans="1:5" x14ac:dyDescent="0.25">
      <c r="A905" s="13">
        <v>20180628</v>
      </c>
      <c r="B905" s="13" t="str">
        <f>"030266"</f>
        <v>030266</v>
      </c>
      <c r="C905" s="13" t="s">
        <v>2</v>
      </c>
      <c r="D905" s="14">
        <v>440.36</v>
      </c>
      <c r="E905" s="13" t="s">
        <v>674</v>
      </c>
    </row>
    <row r="906" spans="1:5" x14ac:dyDescent="0.25">
      <c r="A906" s="13">
        <v>20180628</v>
      </c>
      <c r="B906" s="13" t="str">
        <f>"030266"</f>
        <v>030266</v>
      </c>
      <c r="C906" s="13" t="s">
        <v>2</v>
      </c>
      <c r="D906" s="14">
        <v>418.95</v>
      </c>
      <c r="E906" s="13" t="s">
        <v>675</v>
      </c>
    </row>
    <row r="907" spans="1:5" x14ac:dyDescent="0.25">
      <c r="A907" s="13">
        <v>20180628</v>
      </c>
      <c r="B907" s="13" t="str">
        <f>"030266"</f>
        <v>030266</v>
      </c>
      <c r="C907" s="13" t="s">
        <v>2</v>
      </c>
      <c r="D907" s="14">
        <v>2043.36</v>
      </c>
      <c r="E907" s="13" t="s">
        <v>676</v>
      </c>
    </row>
    <row r="908" spans="1:5" x14ac:dyDescent="0.25">
      <c r="A908" s="13">
        <v>20180628</v>
      </c>
      <c r="B908" s="13" t="str">
        <f>"030268"</f>
        <v>030268</v>
      </c>
      <c r="C908" s="13" t="s">
        <v>362</v>
      </c>
      <c r="D908" s="14">
        <v>32.79</v>
      </c>
      <c r="E908" s="13" t="s">
        <v>363</v>
      </c>
    </row>
    <row r="909" spans="1:5" x14ac:dyDescent="0.25">
      <c r="A909" s="13">
        <v>20180628</v>
      </c>
      <c r="B909" s="13" t="str">
        <f>"030270"</f>
        <v>030270</v>
      </c>
      <c r="C909" s="13" t="s">
        <v>677</v>
      </c>
      <c r="D909" s="14">
        <v>59.11</v>
      </c>
      <c r="E909" s="13" t="s">
        <v>678</v>
      </c>
    </row>
    <row r="910" spans="1:5" x14ac:dyDescent="0.25">
      <c r="A910" s="13">
        <v>20180628</v>
      </c>
      <c r="B910" s="13" t="str">
        <f>"030271"</f>
        <v>030271</v>
      </c>
      <c r="C910" s="13" t="s">
        <v>23</v>
      </c>
      <c r="D910" s="14">
        <v>727.59</v>
      </c>
      <c r="E910" s="13" t="s">
        <v>679</v>
      </c>
    </row>
    <row r="911" spans="1:5" x14ac:dyDescent="0.25">
      <c r="A911" s="13">
        <v>20180628</v>
      </c>
      <c r="B911" s="13" t="str">
        <f>"030272"</f>
        <v>030272</v>
      </c>
      <c r="C911" s="13" t="s">
        <v>159</v>
      </c>
      <c r="D911" s="14">
        <v>204.96</v>
      </c>
      <c r="E911" s="13" t="s">
        <v>160</v>
      </c>
    </row>
    <row r="912" spans="1:5" x14ac:dyDescent="0.25">
      <c r="A912" s="13">
        <v>20180628</v>
      </c>
      <c r="B912" s="13" t="str">
        <f>"030273"</f>
        <v>030273</v>
      </c>
      <c r="C912" s="13" t="s">
        <v>343</v>
      </c>
      <c r="D912" s="14">
        <v>100</v>
      </c>
      <c r="E912" s="13" t="s">
        <v>680</v>
      </c>
    </row>
    <row r="913" spans="1:5" x14ac:dyDescent="0.25">
      <c r="A913" s="13">
        <v>20180628</v>
      </c>
      <c r="B913" s="13" t="str">
        <f>"030273"</f>
        <v>030273</v>
      </c>
      <c r="C913" s="13" t="s">
        <v>343</v>
      </c>
      <c r="D913" s="14">
        <v>59.15</v>
      </c>
      <c r="E913" s="13" t="s">
        <v>681</v>
      </c>
    </row>
    <row r="914" spans="1:5" x14ac:dyDescent="0.25">
      <c r="C914" s="11" t="s">
        <v>789</v>
      </c>
      <c r="D914" s="12">
        <f>SUM(D872:D913)</f>
        <v>27036.630000000005</v>
      </c>
    </row>
    <row r="915" spans="1:5" x14ac:dyDescent="0.25">
      <c r="A915" s="13">
        <v>20180712</v>
      </c>
      <c r="B915" s="13" t="str">
        <f>"030274"</f>
        <v>030274</v>
      </c>
      <c r="C915" s="13" t="s">
        <v>682</v>
      </c>
      <c r="D915" s="14">
        <v>270</v>
      </c>
      <c r="E915" s="13" t="s">
        <v>683</v>
      </c>
    </row>
    <row r="916" spans="1:5" x14ac:dyDescent="0.25">
      <c r="A916" s="13">
        <v>20180712</v>
      </c>
      <c r="B916" s="13" t="str">
        <f>"030275"</f>
        <v>030275</v>
      </c>
      <c r="C916" s="13" t="s">
        <v>157</v>
      </c>
      <c r="D916" s="14">
        <v>114.06</v>
      </c>
      <c r="E916" s="13" t="s">
        <v>158</v>
      </c>
    </row>
    <row r="917" spans="1:5" x14ac:dyDescent="0.25">
      <c r="A917" s="13">
        <v>20180712</v>
      </c>
      <c r="B917" s="13" t="str">
        <f>"030276"</f>
        <v>030276</v>
      </c>
      <c r="C917" s="13" t="s">
        <v>46</v>
      </c>
      <c r="D917" s="14">
        <v>557.67999999999995</v>
      </c>
      <c r="E917" s="13" t="s">
        <v>405</v>
      </c>
    </row>
    <row r="918" spans="1:5" x14ac:dyDescent="0.25">
      <c r="A918" s="13">
        <v>20180712</v>
      </c>
      <c r="B918" s="13" t="str">
        <f>"030277"</f>
        <v>030277</v>
      </c>
      <c r="C918" s="13" t="s">
        <v>684</v>
      </c>
      <c r="D918" s="14">
        <v>99</v>
      </c>
      <c r="E918" s="13" t="s">
        <v>685</v>
      </c>
    </row>
    <row r="919" spans="1:5" x14ac:dyDescent="0.25">
      <c r="A919" s="13">
        <v>20180712</v>
      </c>
      <c r="B919" s="13" t="str">
        <f>"030278"</f>
        <v>030278</v>
      </c>
      <c r="C919" s="13" t="s">
        <v>4</v>
      </c>
      <c r="D919" s="14">
        <v>36.01</v>
      </c>
      <c r="E919" s="13" t="s">
        <v>680</v>
      </c>
    </row>
    <row r="920" spans="1:5" x14ac:dyDescent="0.25">
      <c r="A920" s="13">
        <v>20180712</v>
      </c>
      <c r="B920" s="13" t="str">
        <f>"030278"</f>
        <v>030278</v>
      </c>
      <c r="C920" s="13" t="s">
        <v>4</v>
      </c>
      <c r="D920" s="14">
        <v>24.43</v>
      </c>
      <c r="E920" s="13" t="s">
        <v>680</v>
      </c>
    </row>
    <row r="921" spans="1:5" x14ac:dyDescent="0.25">
      <c r="A921" s="13">
        <v>20180712</v>
      </c>
      <c r="B921" s="13" t="str">
        <f>"030278"</f>
        <v>030278</v>
      </c>
      <c r="C921" s="13" t="s">
        <v>4</v>
      </c>
      <c r="D921" s="14">
        <v>66.39</v>
      </c>
      <c r="E921" s="13" t="s">
        <v>686</v>
      </c>
    </row>
    <row r="922" spans="1:5" x14ac:dyDescent="0.25">
      <c r="A922" s="13">
        <v>20180712</v>
      </c>
      <c r="B922" s="13" t="str">
        <f>"030278"</f>
        <v>030278</v>
      </c>
      <c r="C922" s="13" t="s">
        <v>4</v>
      </c>
      <c r="D922" s="14">
        <v>261.63</v>
      </c>
      <c r="E922" s="13" t="s">
        <v>687</v>
      </c>
    </row>
    <row r="923" spans="1:5" x14ac:dyDescent="0.25">
      <c r="A923" s="13">
        <v>20180712</v>
      </c>
      <c r="B923" s="13" t="str">
        <f>"030278"</f>
        <v>030278</v>
      </c>
      <c r="C923" s="13" t="s">
        <v>4</v>
      </c>
      <c r="D923" s="14">
        <v>59.1</v>
      </c>
      <c r="E923" s="13" t="s">
        <v>688</v>
      </c>
    </row>
    <row r="924" spans="1:5" x14ac:dyDescent="0.25">
      <c r="A924" s="13">
        <v>20180712</v>
      </c>
      <c r="B924" s="13" t="str">
        <f>"030279"</f>
        <v>030279</v>
      </c>
      <c r="C924" s="13" t="s">
        <v>519</v>
      </c>
      <c r="D924" s="14">
        <v>86.94</v>
      </c>
      <c r="E924" s="13" t="s">
        <v>689</v>
      </c>
    </row>
    <row r="925" spans="1:5" x14ac:dyDescent="0.25">
      <c r="A925" s="13">
        <v>20180712</v>
      </c>
      <c r="B925" s="13" t="str">
        <f>"030281"</f>
        <v>030281</v>
      </c>
      <c r="C925" s="13" t="s">
        <v>133</v>
      </c>
      <c r="D925" s="14">
        <v>454.79</v>
      </c>
      <c r="E925" s="13" t="s">
        <v>134</v>
      </c>
    </row>
    <row r="926" spans="1:5" x14ac:dyDescent="0.25">
      <c r="A926" s="13">
        <v>20180712</v>
      </c>
      <c r="B926" s="13" t="str">
        <f>"030282"</f>
        <v>030282</v>
      </c>
      <c r="C926" s="13" t="s">
        <v>2</v>
      </c>
      <c r="D926" s="14">
        <v>241.82</v>
      </c>
      <c r="E926" s="13" t="s">
        <v>690</v>
      </c>
    </row>
    <row r="927" spans="1:5" x14ac:dyDescent="0.25">
      <c r="A927" s="13">
        <v>20180712</v>
      </c>
      <c r="B927" s="13" t="str">
        <f>"030282"</f>
        <v>030282</v>
      </c>
      <c r="C927" s="13" t="s">
        <v>2</v>
      </c>
      <c r="D927" s="14">
        <v>582</v>
      </c>
      <c r="E927" s="13" t="s">
        <v>691</v>
      </c>
    </row>
    <row r="928" spans="1:5" x14ac:dyDescent="0.25">
      <c r="A928" s="13">
        <v>20180712</v>
      </c>
      <c r="B928" s="13" t="str">
        <f>"030282"</f>
        <v>030282</v>
      </c>
      <c r="C928" s="13" t="s">
        <v>2</v>
      </c>
      <c r="D928" s="14">
        <v>166.09</v>
      </c>
      <c r="E928" s="13" t="s">
        <v>692</v>
      </c>
    </row>
    <row r="929" spans="1:5" x14ac:dyDescent="0.25">
      <c r="A929" s="13">
        <v>20180712</v>
      </c>
      <c r="B929" s="13" t="str">
        <f>"030283"</f>
        <v>030283</v>
      </c>
      <c r="C929" s="13" t="s">
        <v>42</v>
      </c>
      <c r="D929" s="14">
        <v>53.38</v>
      </c>
      <c r="E929" s="13" t="s">
        <v>693</v>
      </c>
    </row>
    <row r="930" spans="1:5" x14ac:dyDescent="0.25">
      <c r="A930" s="13">
        <v>20180712</v>
      </c>
      <c r="B930" s="13" t="str">
        <f>"030284"</f>
        <v>030284</v>
      </c>
      <c r="C930" s="13" t="s">
        <v>99</v>
      </c>
      <c r="D930" s="14">
        <v>178.92</v>
      </c>
      <c r="E930" s="13" t="s">
        <v>481</v>
      </c>
    </row>
    <row r="931" spans="1:5" x14ac:dyDescent="0.25">
      <c r="A931" s="13">
        <v>20180712</v>
      </c>
      <c r="B931" s="13" t="str">
        <f>"030284"</f>
        <v>030284</v>
      </c>
      <c r="C931" s="13" t="s">
        <v>99</v>
      </c>
      <c r="D931" s="14">
        <v>23.97</v>
      </c>
      <c r="E931" s="13" t="s">
        <v>481</v>
      </c>
    </row>
    <row r="932" spans="1:5" x14ac:dyDescent="0.25">
      <c r="A932" s="13">
        <v>20180712</v>
      </c>
      <c r="B932" s="13" t="str">
        <f>"030285"</f>
        <v>030285</v>
      </c>
      <c r="C932" s="13" t="s">
        <v>202</v>
      </c>
      <c r="D932" s="14">
        <v>58.58</v>
      </c>
      <c r="E932" s="13" t="s">
        <v>694</v>
      </c>
    </row>
    <row r="933" spans="1:5" x14ac:dyDescent="0.25">
      <c r="A933" s="13">
        <v>20180712</v>
      </c>
      <c r="B933" s="13" t="str">
        <f>"030286"</f>
        <v>030286</v>
      </c>
      <c r="C933" s="13" t="s">
        <v>159</v>
      </c>
      <c r="D933" s="14">
        <v>207.99</v>
      </c>
      <c r="E933" s="13" t="s">
        <v>160</v>
      </c>
    </row>
    <row r="934" spans="1:5" x14ac:dyDescent="0.25">
      <c r="A934" s="13">
        <v>20180712</v>
      </c>
      <c r="B934" s="13" t="str">
        <f>"030287"</f>
        <v>030287</v>
      </c>
      <c r="C934" s="13" t="s">
        <v>496</v>
      </c>
      <c r="D934" s="14">
        <v>500</v>
      </c>
      <c r="E934" s="13" t="s">
        <v>497</v>
      </c>
    </row>
    <row r="935" spans="1:5" x14ac:dyDescent="0.25">
      <c r="A935" s="13">
        <v>20180712</v>
      </c>
      <c r="B935" s="13" t="str">
        <f>"030287"</f>
        <v>030287</v>
      </c>
      <c r="C935" s="13" t="s">
        <v>496</v>
      </c>
      <c r="D935" s="14">
        <v>1800</v>
      </c>
      <c r="E935" s="13" t="s">
        <v>497</v>
      </c>
    </row>
    <row r="936" spans="1:5" x14ac:dyDescent="0.25">
      <c r="A936" s="13">
        <v>20180712</v>
      </c>
      <c r="B936" s="13" t="str">
        <f>"030287"</f>
        <v>030287</v>
      </c>
      <c r="C936" s="13" t="s">
        <v>496</v>
      </c>
      <c r="D936" s="14">
        <v>500</v>
      </c>
      <c r="E936" s="13" t="s">
        <v>497</v>
      </c>
    </row>
    <row r="937" spans="1:5" x14ac:dyDescent="0.25">
      <c r="A937" s="13">
        <v>20180712</v>
      </c>
      <c r="B937" s="13" t="str">
        <f>"030287"</f>
        <v>030287</v>
      </c>
      <c r="C937" s="13" t="s">
        <v>496</v>
      </c>
      <c r="D937" s="14">
        <v>1200</v>
      </c>
      <c r="E937" s="13" t="s">
        <v>497</v>
      </c>
    </row>
    <row r="938" spans="1:5" x14ac:dyDescent="0.25">
      <c r="A938" s="13">
        <v>20180712</v>
      </c>
      <c r="B938" s="13" t="str">
        <f>"030288"</f>
        <v>030288</v>
      </c>
      <c r="C938" s="13" t="s">
        <v>114</v>
      </c>
      <c r="D938" s="14">
        <v>450</v>
      </c>
      <c r="E938" s="13" t="s">
        <v>61</v>
      </c>
    </row>
    <row r="939" spans="1:5" x14ac:dyDescent="0.25">
      <c r="A939" s="13">
        <v>20180712</v>
      </c>
      <c r="B939" s="13" t="str">
        <f>"030289"</f>
        <v>030289</v>
      </c>
      <c r="C939" s="13" t="s">
        <v>197</v>
      </c>
      <c r="D939" s="14">
        <v>118</v>
      </c>
      <c r="E939" s="13" t="s">
        <v>198</v>
      </c>
    </row>
    <row r="940" spans="1:5" x14ac:dyDescent="0.25">
      <c r="C940" s="11" t="s">
        <v>790</v>
      </c>
      <c r="D940" s="12">
        <f>SUM(D915:D939)</f>
        <v>8110.7800000000007</v>
      </c>
    </row>
    <row r="941" spans="1:5" x14ac:dyDescent="0.25">
      <c r="A941" s="13">
        <v>20180801</v>
      </c>
      <c r="B941" s="13" t="str">
        <f>"030292"</f>
        <v>030292</v>
      </c>
      <c r="C941" s="13" t="s">
        <v>76</v>
      </c>
      <c r="D941" s="14">
        <v>202.46</v>
      </c>
      <c r="E941" s="13" t="s">
        <v>77</v>
      </c>
    </row>
    <row r="942" spans="1:5" x14ac:dyDescent="0.25">
      <c r="A942" s="13">
        <v>20180801</v>
      </c>
      <c r="B942" s="13" t="str">
        <f>"030292"</f>
        <v>030292</v>
      </c>
      <c r="C942" s="13" t="s">
        <v>76</v>
      </c>
      <c r="D942" s="14">
        <v>213.94</v>
      </c>
      <c r="E942" s="13" t="s">
        <v>77</v>
      </c>
    </row>
    <row r="943" spans="1:5" x14ac:dyDescent="0.25">
      <c r="A943" s="13">
        <v>20180801</v>
      </c>
      <c r="B943" s="13" t="str">
        <f>"030292"</f>
        <v>030292</v>
      </c>
      <c r="C943" s="13" t="s">
        <v>76</v>
      </c>
      <c r="D943" s="14">
        <v>67.489999999999995</v>
      </c>
      <c r="E943" s="13" t="s">
        <v>77</v>
      </c>
    </row>
    <row r="944" spans="1:5" x14ac:dyDescent="0.25">
      <c r="A944" s="13">
        <v>20180801</v>
      </c>
      <c r="B944" s="13" t="str">
        <f>"030292"</f>
        <v>030292</v>
      </c>
      <c r="C944" s="13" t="s">
        <v>76</v>
      </c>
      <c r="D944" s="14">
        <v>67.489999999999995</v>
      </c>
      <c r="E944" s="13" t="s">
        <v>77</v>
      </c>
    </row>
    <row r="945" spans="1:5" x14ac:dyDescent="0.25">
      <c r="A945" s="13">
        <v>20180801</v>
      </c>
      <c r="B945" s="13" t="str">
        <f>"030293"</f>
        <v>030293</v>
      </c>
      <c r="C945" s="13" t="s">
        <v>13</v>
      </c>
      <c r="D945" s="14">
        <v>261.25</v>
      </c>
      <c r="E945" s="13" t="s">
        <v>695</v>
      </c>
    </row>
    <row r="946" spans="1:5" x14ac:dyDescent="0.25">
      <c r="A946" s="13">
        <v>20180801</v>
      </c>
      <c r="B946" s="13" t="str">
        <f>"030294"</f>
        <v>030294</v>
      </c>
      <c r="C946" s="13" t="s">
        <v>213</v>
      </c>
      <c r="D946" s="14">
        <v>900</v>
      </c>
      <c r="E946" s="13" t="s">
        <v>696</v>
      </c>
    </row>
    <row r="947" spans="1:5" x14ac:dyDescent="0.25">
      <c r="A947" s="13">
        <v>20180801</v>
      </c>
      <c r="B947" s="13" t="str">
        <f>"030295"</f>
        <v>030295</v>
      </c>
      <c r="C947" s="13" t="s">
        <v>697</v>
      </c>
      <c r="D947" s="14">
        <v>64</v>
      </c>
      <c r="E947" s="13" t="s">
        <v>698</v>
      </c>
    </row>
    <row r="948" spans="1:5" x14ac:dyDescent="0.25">
      <c r="A948" s="13">
        <v>20180801</v>
      </c>
      <c r="B948" s="13" t="str">
        <f>"030296"</f>
        <v>030296</v>
      </c>
      <c r="C948" s="13" t="s">
        <v>123</v>
      </c>
      <c r="D948" s="14">
        <v>1583.4</v>
      </c>
      <c r="E948" s="13" t="s">
        <v>124</v>
      </c>
    </row>
    <row r="949" spans="1:5" x14ac:dyDescent="0.25">
      <c r="A949" s="13">
        <v>20180801</v>
      </c>
      <c r="B949" s="13" t="str">
        <f>"030297"</f>
        <v>030297</v>
      </c>
      <c r="C949" s="13" t="s">
        <v>80</v>
      </c>
      <c r="D949" s="14">
        <v>127.09</v>
      </c>
      <c r="E949" s="13" t="s">
        <v>81</v>
      </c>
    </row>
    <row r="950" spans="1:5" x14ac:dyDescent="0.25">
      <c r="A950" s="13">
        <v>20180801</v>
      </c>
      <c r="B950" s="13" t="str">
        <f>"030298"</f>
        <v>030298</v>
      </c>
      <c r="C950" s="13" t="s">
        <v>684</v>
      </c>
      <c r="D950" s="14">
        <v>57.75</v>
      </c>
      <c r="E950" s="13" t="s">
        <v>685</v>
      </c>
    </row>
    <row r="951" spans="1:5" x14ac:dyDescent="0.25">
      <c r="A951" s="13">
        <v>20180801</v>
      </c>
      <c r="B951" s="13" t="str">
        <f>"030299"</f>
        <v>030299</v>
      </c>
      <c r="C951" s="13" t="s">
        <v>133</v>
      </c>
      <c r="D951" s="14">
        <v>266.54000000000002</v>
      </c>
      <c r="E951" s="13" t="s">
        <v>134</v>
      </c>
    </row>
    <row r="952" spans="1:5" x14ac:dyDescent="0.25">
      <c r="A952" s="13">
        <v>20180801</v>
      </c>
      <c r="B952" s="13" t="str">
        <f>"030300"</f>
        <v>030300</v>
      </c>
      <c r="C952" s="13" t="s">
        <v>42</v>
      </c>
      <c r="D952" s="14">
        <v>371.07</v>
      </c>
      <c r="E952" s="13" t="s">
        <v>693</v>
      </c>
    </row>
    <row r="953" spans="1:5" x14ac:dyDescent="0.25">
      <c r="A953" s="13">
        <v>20180801</v>
      </c>
      <c r="B953" s="13" t="str">
        <f>"030300"</f>
        <v>030300</v>
      </c>
      <c r="C953" s="13" t="s">
        <v>42</v>
      </c>
      <c r="D953" s="14">
        <v>2.88</v>
      </c>
      <c r="E953" s="13" t="s">
        <v>693</v>
      </c>
    </row>
    <row r="954" spans="1:5" x14ac:dyDescent="0.25">
      <c r="A954" s="13">
        <v>20180801</v>
      </c>
      <c r="B954" s="13" t="str">
        <f t="shared" ref="B954:B959" si="15">"030301"</f>
        <v>030301</v>
      </c>
      <c r="C954" s="13" t="s">
        <v>18</v>
      </c>
      <c r="D954" s="14">
        <v>869.33</v>
      </c>
      <c r="E954" s="13" t="s">
        <v>699</v>
      </c>
    </row>
    <row r="955" spans="1:5" x14ac:dyDescent="0.25">
      <c r="A955" s="13">
        <v>20180801</v>
      </c>
      <c r="B955" s="13" t="str">
        <f t="shared" si="15"/>
        <v>030301</v>
      </c>
      <c r="C955" s="13" t="s">
        <v>18</v>
      </c>
      <c r="D955" s="14">
        <v>238.93</v>
      </c>
      <c r="E955" s="13" t="s">
        <v>699</v>
      </c>
    </row>
    <row r="956" spans="1:5" x14ac:dyDescent="0.25">
      <c r="A956" s="13">
        <v>20180801</v>
      </c>
      <c r="B956" s="13" t="str">
        <f t="shared" si="15"/>
        <v>030301</v>
      </c>
      <c r="C956" s="13" t="s">
        <v>18</v>
      </c>
      <c r="D956" s="14">
        <v>14.99</v>
      </c>
      <c r="E956" s="13" t="s">
        <v>699</v>
      </c>
    </row>
    <row r="957" spans="1:5" x14ac:dyDescent="0.25">
      <c r="A957" s="13">
        <v>20180801</v>
      </c>
      <c r="B957" s="13" t="str">
        <f t="shared" si="15"/>
        <v>030301</v>
      </c>
      <c r="C957" s="13" t="s">
        <v>18</v>
      </c>
      <c r="D957" s="14">
        <v>72.44</v>
      </c>
      <c r="E957" s="13" t="s">
        <v>699</v>
      </c>
    </row>
    <row r="958" spans="1:5" x14ac:dyDescent="0.25">
      <c r="A958" s="13">
        <v>20180801</v>
      </c>
      <c r="B958" s="13" t="str">
        <f t="shared" si="15"/>
        <v>030301</v>
      </c>
      <c r="C958" s="13" t="s">
        <v>18</v>
      </c>
      <c r="D958" s="14">
        <v>63.35</v>
      </c>
      <c r="E958" s="13" t="s">
        <v>699</v>
      </c>
    </row>
    <row r="959" spans="1:5" x14ac:dyDescent="0.25">
      <c r="A959" s="13">
        <v>20180801</v>
      </c>
      <c r="B959" s="13" t="str">
        <f t="shared" si="15"/>
        <v>030301</v>
      </c>
      <c r="C959" s="13" t="s">
        <v>18</v>
      </c>
      <c r="D959" s="14">
        <v>100.53</v>
      </c>
      <c r="E959" s="13" t="s">
        <v>699</v>
      </c>
    </row>
    <row r="960" spans="1:5" x14ac:dyDescent="0.25">
      <c r="A960" s="13">
        <v>20180801</v>
      </c>
      <c r="B960" s="13" t="str">
        <f>"030302"</f>
        <v>030302</v>
      </c>
      <c r="C960" s="13" t="s">
        <v>8</v>
      </c>
      <c r="D960" s="14">
        <v>535</v>
      </c>
      <c r="E960" s="13" t="s">
        <v>700</v>
      </c>
    </row>
    <row r="961" spans="1:5" x14ac:dyDescent="0.25">
      <c r="A961" s="13">
        <v>20180801</v>
      </c>
      <c r="B961" s="13" t="str">
        <f>"030304"</f>
        <v>030304</v>
      </c>
      <c r="C961" s="13" t="s">
        <v>110</v>
      </c>
      <c r="D961" s="14">
        <v>774.04</v>
      </c>
      <c r="E961" s="13" t="s">
        <v>273</v>
      </c>
    </row>
    <row r="962" spans="1:5" x14ac:dyDescent="0.25">
      <c r="A962" s="13">
        <v>20180807</v>
      </c>
      <c r="B962" s="13" t="str">
        <f>"030321"</f>
        <v>030321</v>
      </c>
      <c r="C962" s="13" t="s">
        <v>119</v>
      </c>
      <c r="D962" s="14">
        <v>208.32</v>
      </c>
      <c r="E962" s="13" t="s">
        <v>120</v>
      </c>
    </row>
    <row r="963" spans="1:5" x14ac:dyDescent="0.25">
      <c r="A963" s="13">
        <v>20180807</v>
      </c>
      <c r="B963" s="13" t="str">
        <f>"030322"</f>
        <v>030322</v>
      </c>
      <c r="C963" s="13" t="s">
        <v>74</v>
      </c>
      <c r="D963" s="14">
        <v>11.77</v>
      </c>
      <c r="E963" s="13" t="s">
        <v>75</v>
      </c>
    </row>
    <row r="964" spans="1:5" x14ac:dyDescent="0.25">
      <c r="A964" s="13">
        <v>20180807</v>
      </c>
      <c r="B964" s="13" t="str">
        <f>"030323"</f>
        <v>030323</v>
      </c>
      <c r="C964" s="13" t="s">
        <v>157</v>
      </c>
      <c r="D964" s="14">
        <v>112.46</v>
      </c>
      <c r="E964" s="13" t="s">
        <v>158</v>
      </c>
    </row>
    <row r="965" spans="1:5" x14ac:dyDescent="0.25">
      <c r="A965" s="13">
        <v>20180807</v>
      </c>
      <c r="B965" s="13" t="str">
        <f>"030324"</f>
        <v>030324</v>
      </c>
      <c r="C965" s="13" t="s">
        <v>46</v>
      </c>
      <c r="D965" s="14">
        <v>557.67999999999995</v>
      </c>
      <c r="E965" s="13" t="s">
        <v>405</v>
      </c>
    </row>
    <row r="966" spans="1:5" x14ac:dyDescent="0.25">
      <c r="A966" s="13">
        <v>20180807</v>
      </c>
      <c r="B966" s="13" t="str">
        <f>"030325"</f>
        <v>030325</v>
      </c>
      <c r="C966" s="13" t="s">
        <v>2</v>
      </c>
      <c r="D966" s="14">
        <v>225.94</v>
      </c>
      <c r="E966" s="13" t="s">
        <v>701</v>
      </c>
    </row>
    <row r="967" spans="1:5" x14ac:dyDescent="0.25">
      <c r="A967" s="13">
        <v>20180807</v>
      </c>
      <c r="B967" s="13" t="str">
        <f>"030325"</f>
        <v>030325</v>
      </c>
      <c r="C967" s="13" t="s">
        <v>2</v>
      </c>
      <c r="D967" s="14">
        <v>197</v>
      </c>
      <c r="E967" s="13" t="s">
        <v>702</v>
      </c>
    </row>
    <row r="968" spans="1:5" x14ac:dyDescent="0.25">
      <c r="A968" s="13">
        <v>20180807</v>
      </c>
      <c r="B968" s="13" t="str">
        <f>"030325"</f>
        <v>030325</v>
      </c>
      <c r="C968" s="13" t="s">
        <v>2</v>
      </c>
      <c r="D968" s="14">
        <v>12</v>
      </c>
      <c r="E968" s="13" t="s">
        <v>703</v>
      </c>
    </row>
    <row r="969" spans="1:5" x14ac:dyDescent="0.25">
      <c r="A969" s="13">
        <v>20180807</v>
      </c>
      <c r="B969" s="13" t="str">
        <f>"030325"</f>
        <v>030325</v>
      </c>
      <c r="C969" s="13" t="s">
        <v>2</v>
      </c>
      <c r="D969" s="14">
        <v>127.03</v>
      </c>
      <c r="E969" s="13" t="s">
        <v>704</v>
      </c>
    </row>
    <row r="970" spans="1:5" x14ac:dyDescent="0.25">
      <c r="A970" s="13">
        <v>20180807</v>
      </c>
      <c r="B970" s="13" t="str">
        <f>"030327"</f>
        <v>030327</v>
      </c>
      <c r="C970" s="13" t="s">
        <v>30</v>
      </c>
      <c r="D970" s="14">
        <v>400</v>
      </c>
      <c r="E970" s="13" t="s">
        <v>705</v>
      </c>
    </row>
    <row r="971" spans="1:5" x14ac:dyDescent="0.25">
      <c r="A971" s="13">
        <v>20180807</v>
      </c>
      <c r="B971" s="13" t="str">
        <f>"030328"</f>
        <v>030328</v>
      </c>
      <c r="C971" s="13" t="s">
        <v>110</v>
      </c>
      <c r="D971" s="14">
        <v>197.68</v>
      </c>
      <c r="E971" s="13" t="s">
        <v>273</v>
      </c>
    </row>
    <row r="972" spans="1:5" x14ac:dyDescent="0.25">
      <c r="A972" s="13">
        <v>20180807</v>
      </c>
      <c r="B972" s="13" t="str">
        <f>"030329"</f>
        <v>030329</v>
      </c>
      <c r="C972" s="13" t="s">
        <v>197</v>
      </c>
      <c r="D972" s="14">
        <v>522.5</v>
      </c>
      <c r="E972" s="13" t="s">
        <v>198</v>
      </c>
    </row>
    <row r="973" spans="1:5" x14ac:dyDescent="0.25">
      <c r="A973" s="13">
        <v>20180813</v>
      </c>
      <c r="B973" s="13" t="str">
        <f>"030330"</f>
        <v>030330</v>
      </c>
      <c r="C973" s="13" t="s">
        <v>27</v>
      </c>
      <c r="D973" s="14">
        <v>8330.41</v>
      </c>
      <c r="E973" s="13" t="s">
        <v>706</v>
      </c>
    </row>
    <row r="974" spans="1:5" x14ac:dyDescent="0.25">
      <c r="A974" s="13">
        <v>20180813</v>
      </c>
      <c r="B974" s="13" t="str">
        <f>"030331"</f>
        <v>030331</v>
      </c>
      <c r="C974" s="13" t="s">
        <v>707</v>
      </c>
      <c r="D974" s="14">
        <v>368</v>
      </c>
      <c r="E974" s="13" t="s">
        <v>708</v>
      </c>
    </row>
    <row r="975" spans="1:5" x14ac:dyDescent="0.25">
      <c r="A975" s="13">
        <v>20180813</v>
      </c>
      <c r="B975" s="13" t="str">
        <f>"030332"</f>
        <v>030332</v>
      </c>
      <c r="C975" s="13" t="s">
        <v>393</v>
      </c>
      <c r="D975" s="14">
        <v>2760.39</v>
      </c>
      <c r="E975" s="13" t="s">
        <v>709</v>
      </c>
    </row>
    <row r="976" spans="1:5" x14ac:dyDescent="0.25">
      <c r="A976" s="13">
        <v>20180813</v>
      </c>
      <c r="B976" s="13" t="str">
        <f>"030332"</f>
        <v>030332</v>
      </c>
      <c r="C976" s="13" t="s">
        <v>393</v>
      </c>
      <c r="D976" s="14">
        <v>500</v>
      </c>
      <c r="E976" s="13" t="s">
        <v>709</v>
      </c>
    </row>
    <row r="977" spans="1:5" x14ac:dyDescent="0.25">
      <c r="A977" s="13">
        <v>20180813</v>
      </c>
      <c r="B977" s="13" t="str">
        <f>"030333"</f>
        <v>030333</v>
      </c>
      <c r="C977" s="13" t="s">
        <v>123</v>
      </c>
      <c r="D977" s="14">
        <v>1326.59</v>
      </c>
      <c r="E977" s="13" t="s">
        <v>124</v>
      </c>
    </row>
    <row r="978" spans="1:5" x14ac:dyDescent="0.25">
      <c r="A978" s="13">
        <v>20180813</v>
      </c>
      <c r="B978" s="13" t="str">
        <f>"030334"</f>
        <v>030334</v>
      </c>
      <c r="C978" s="13" t="s">
        <v>684</v>
      </c>
      <c r="D978" s="14">
        <v>57.75</v>
      </c>
      <c r="E978" s="13" t="s">
        <v>685</v>
      </c>
    </row>
    <row r="979" spans="1:5" x14ac:dyDescent="0.25">
      <c r="A979" s="13">
        <v>20180813</v>
      </c>
      <c r="B979" s="13" t="str">
        <f>"030336"</f>
        <v>030336</v>
      </c>
      <c r="C979" s="13" t="s">
        <v>18</v>
      </c>
      <c r="D979" s="14">
        <v>204.99</v>
      </c>
      <c r="E979" s="13" t="s">
        <v>710</v>
      </c>
    </row>
    <row r="980" spans="1:5" x14ac:dyDescent="0.25">
      <c r="A980" s="13">
        <v>20180813</v>
      </c>
      <c r="B980" s="13" t="str">
        <f>"030337"</f>
        <v>030337</v>
      </c>
      <c r="C980" s="13" t="s">
        <v>711</v>
      </c>
      <c r="D980" s="14">
        <v>322.74</v>
      </c>
      <c r="E980" s="13" t="s">
        <v>712</v>
      </c>
    </row>
    <row r="981" spans="1:5" x14ac:dyDescent="0.25">
      <c r="A981" s="13">
        <v>20180813</v>
      </c>
      <c r="B981" s="13" t="str">
        <f>"030338"</f>
        <v>030338</v>
      </c>
      <c r="C981" s="13" t="s">
        <v>159</v>
      </c>
      <c r="D981" s="14">
        <v>204.96</v>
      </c>
      <c r="E981" s="13" t="s">
        <v>160</v>
      </c>
    </row>
    <row r="982" spans="1:5" x14ac:dyDescent="0.25">
      <c r="A982" s="13">
        <v>20180827</v>
      </c>
      <c r="B982" s="13" t="str">
        <f>"030341"</f>
        <v>030341</v>
      </c>
      <c r="C982" s="13" t="s">
        <v>291</v>
      </c>
      <c r="D982" s="14">
        <v>1190</v>
      </c>
      <c r="E982" s="13" t="s">
        <v>457</v>
      </c>
    </row>
    <row r="983" spans="1:5" x14ac:dyDescent="0.25">
      <c r="A983" s="13">
        <v>20180827</v>
      </c>
      <c r="B983" s="13" t="str">
        <f>"030342"</f>
        <v>030342</v>
      </c>
      <c r="C983" s="13" t="s">
        <v>74</v>
      </c>
      <c r="D983" s="14">
        <v>11.89</v>
      </c>
      <c r="E983" s="13" t="s">
        <v>75</v>
      </c>
    </row>
    <row r="984" spans="1:5" x14ac:dyDescent="0.25">
      <c r="A984" s="13">
        <v>20180827</v>
      </c>
      <c r="B984" s="13" t="str">
        <f>"030343"</f>
        <v>030343</v>
      </c>
      <c r="C984" s="13" t="s">
        <v>76</v>
      </c>
      <c r="D984" s="14">
        <v>202.46</v>
      </c>
      <c r="E984" s="13" t="s">
        <v>77</v>
      </c>
    </row>
    <row r="985" spans="1:5" x14ac:dyDescent="0.25">
      <c r="A985" s="13">
        <v>20180827</v>
      </c>
      <c r="B985" s="13" t="str">
        <f>"030343"</f>
        <v>030343</v>
      </c>
      <c r="C985" s="13" t="s">
        <v>76</v>
      </c>
      <c r="D985" s="14">
        <v>213.94</v>
      </c>
      <c r="E985" s="13" t="s">
        <v>77</v>
      </c>
    </row>
    <row r="986" spans="1:5" x14ac:dyDescent="0.25">
      <c r="A986" s="13">
        <v>20180827</v>
      </c>
      <c r="B986" s="13" t="str">
        <f>"030343"</f>
        <v>030343</v>
      </c>
      <c r="C986" s="13" t="s">
        <v>76</v>
      </c>
      <c r="D986" s="14">
        <v>67.489999999999995</v>
      </c>
      <c r="E986" s="13" t="s">
        <v>77</v>
      </c>
    </row>
    <row r="987" spans="1:5" x14ac:dyDescent="0.25">
      <c r="A987" s="13">
        <v>20180827</v>
      </c>
      <c r="B987" s="13" t="str">
        <f>"030343"</f>
        <v>030343</v>
      </c>
      <c r="C987" s="13" t="s">
        <v>76</v>
      </c>
      <c r="D987" s="14">
        <v>67.489999999999995</v>
      </c>
      <c r="E987" s="13" t="s">
        <v>77</v>
      </c>
    </row>
    <row r="988" spans="1:5" x14ac:dyDescent="0.25">
      <c r="A988" s="13">
        <v>20180827</v>
      </c>
      <c r="B988" s="13" t="str">
        <f>"030344"</f>
        <v>030344</v>
      </c>
      <c r="C988" s="13" t="s">
        <v>80</v>
      </c>
      <c r="D988" s="14">
        <v>127.09</v>
      </c>
      <c r="E988" s="13" t="s">
        <v>81</v>
      </c>
    </row>
    <row r="989" spans="1:5" x14ac:dyDescent="0.25">
      <c r="A989" s="13">
        <v>20180827</v>
      </c>
      <c r="B989" s="13" t="str">
        <f>"030345"</f>
        <v>030345</v>
      </c>
      <c r="C989" s="13" t="s">
        <v>616</v>
      </c>
      <c r="D989" s="14">
        <v>82.49</v>
      </c>
      <c r="E989" s="13" t="s">
        <v>713</v>
      </c>
    </row>
    <row r="990" spans="1:5" x14ac:dyDescent="0.25">
      <c r="A990" s="13">
        <v>20180827</v>
      </c>
      <c r="B990" s="13" t="str">
        <f t="shared" ref="B990:B996" si="16">"030347"</f>
        <v>030347</v>
      </c>
      <c r="C990" s="13" t="s">
        <v>2</v>
      </c>
      <c r="D990" s="14">
        <v>318.45</v>
      </c>
      <c r="E990" s="13" t="s">
        <v>714</v>
      </c>
    </row>
    <row r="991" spans="1:5" x14ac:dyDescent="0.25">
      <c r="A991" s="13">
        <v>20180827</v>
      </c>
      <c r="B991" s="13" t="str">
        <f t="shared" si="16"/>
        <v>030347</v>
      </c>
      <c r="C991" s="13" t="s">
        <v>2</v>
      </c>
      <c r="D991" s="14">
        <v>13.86</v>
      </c>
      <c r="E991" s="13" t="s">
        <v>715</v>
      </c>
    </row>
    <row r="992" spans="1:5" x14ac:dyDescent="0.25">
      <c r="A992" s="13">
        <v>20180827</v>
      </c>
      <c r="B992" s="13" t="str">
        <f t="shared" si="16"/>
        <v>030347</v>
      </c>
      <c r="C992" s="13" t="s">
        <v>2</v>
      </c>
      <c r="D992" s="14">
        <v>20</v>
      </c>
      <c r="E992" s="13" t="s">
        <v>716</v>
      </c>
    </row>
    <row r="993" spans="1:5" x14ac:dyDescent="0.25">
      <c r="A993" s="13">
        <v>20180827</v>
      </c>
      <c r="B993" s="13" t="str">
        <f t="shared" si="16"/>
        <v>030347</v>
      </c>
      <c r="C993" s="13" t="s">
        <v>2</v>
      </c>
      <c r="D993" s="14">
        <v>35.94</v>
      </c>
      <c r="E993" s="13" t="s">
        <v>717</v>
      </c>
    </row>
    <row r="994" spans="1:5" x14ac:dyDescent="0.25">
      <c r="A994" s="13">
        <v>20180827</v>
      </c>
      <c r="B994" s="13" t="str">
        <f t="shared" si="16"/>
        <v>030347</v>
      </c>
      <c r="C994" s="13" t="s">
        <v>2</v>
      </c>
      <c r="D994" s="14">
        <v>56.74</v>
      </c>
      <c r="E994" s="13" t="s">
        <v>718</v>
      </c>
    </row>
    <row r="995" spans="1:5" x14ac:dyDescent="0.25">
      <c r="A995" s="13">
        <v>20180827</v>
      </c>
      <c r="B995" s="13" t="str">
        <f t="shared" si="16"/>
        <v>030347</v>
      </c>
      <c r="C995" s="13" t="s">
        <v>2</v>
      </c>
      <c r="D995" s="14">
        <v>18</v>
      </c>
      <c r="E995" s="13" t="s">
        <v>719</v>
      </c>
    </row>
    <row r="996" spans="1:5" x14ac:dyDescent="0.25">
      <c r="A996" s="13">
        <v>20180827</v>
      </c>
      <c r="B996" s="13" t="str">
        <f t="shared" si="16"/>
        <v>030347</v>
      </c>
      <c r="C996" s="13" t="s">
        <v>2</v>
      </c>
      <c r="D996" s="14">
        <v>1.5</v>
      </c>
      <c r="E996" s="13" t="s">
        <v>720</v>
      </c>
    </row>
    <row r="997" spans="1:5" x14ac:dyDescent="0.25">
      <c r="A997" s="13">
        <v>20180827</v>
      </c>
      <c r="B997" s="13" t="str">
        <f>"030348"</f>
        <v>030348</v>
      </c>
      <c r="C997" s="13" t="s">
        <v>42</v>
      </c>
      <c r="D997" s="14">
        <v>96.95</v>
      </c>
      <c r="E997" s="13" t="s">
        <v>481</v>
      </c>
    </row>
    <row r="998" spans="1:5" x14ac:dyDescent="0.25">
      <c r="A998" s="13">
        <v>20180827</v>
      </c>
      <c r="B998" s="13" t="str">
        <f>"030350"</f>
        <v>030350</v>
      </c>
      <c r="C998" s="13" t="s">
        <v>99</v>
      </c>
      <c r="D998" s="14">
        <v>265.01</v>
      </c>
      <c r="E998" s="13" t="s">
        <v>693</v>
      </c>
    </row>
    <row r="999" spans="1:5" x14ac:dyDescent="0.25">
      <c r="A999" s="13">
        <v>20180827</v>
      </c>
      <c r="B999" s="13" t="str">
        <f>"030351"</f>
        <v>030351</v>
      </c>
      <c r="C999" s="13" t="s">
        <v>721</v>
      </c>
      <c r="D999" s="14">
        <v>25</v>
      </c>
      <c r="E999" s="13" t="s">
        <v>722</v>
      </c>
    </row>
    <row r="1000" spans="1:5" x14ac:dyDescent="0.25">
      <c r="A1000" s="13">
        <v>20180827</v>
      </c>
      <c r="B1000" s="13" t="str">
        <f>"030352"</f>
        <v>030352</v>
      </c>
      <c r="C1000" s="13" t="s">
        <v>18</v>
      </c>
      <c r="D1000" s="14">
        <v>252.15</v>
      </c>
      <c r="E1000" s="13" t="s">
        <v>723</v>
      </c>
    </row>
    <row r="1001" spans="1:5" x14ac:dyDescent="0.25">
      <c r="A1001" s="13">
        <v>20180827</v>
      </c>
      <c r="B1001" s="13" t="str">
        <f>"030353"</f>
        <v>030353</v>
      </c>
      <c r="C1001" s="13" t="s">
        <v>8</v>
      </c>
      <c r="D1001" s="14">
        <v>500</v>
      </c>
      <c r="E1001" s="13" t="s">
        <v>724</v>
      </c>
    </row>
    <row r="1002" spans="1:5" x14ac:dyDescent="0.25">
      <c r="A1002" s="13">
        <v>20180827</v>
      </c>
      <c r="B1002" s="13" t="str">
        <f>"030353"</f>
        <v>030353</v>
      </c>
      <c r="C1002" s="13" t="s">
        <v>8</v>
      </c>
      <c r="D1002" s="14">
        <v>150</v>
      </c>
      <c r="E1002" s="13" t="s">
        <v>725</v>
      </c>
    </row>
    <row r="1003" spans="1:5" x14ac:dyDescent="0.25">
      <c r="A1003" s="13">
        <v>20180827</v>
      </c>
      <c r="B1003" s="13" t="str">
        <f>"030354"</f>
        <v>030354</v>
      </c>
      <c r="C1003" s="13" t="s">
        <v>30</v>
      </c>
      <c r="D1003" s="14">
        <v>120</v>
      </c>
      <c r="E1003" s="13" t="s">
        <v>726</v>
      </c>
    </row>
    <row r="1004" spans="1:5" x14ac:dyDescent="0.25">
      <c r="A1004" s="13">
        <v>20180827</v>
      </c>
      <c r="B1004" s="13" t="str">
        <f>"030355"</f>
        <v>030355</v>
      </c>
      <c r="C1004" s="13" t="s">
        <v>271</v>
      </c>
      <c r="D1004" s="14">
        <v>79.98</v>
      </c>
      <c r="E1004" s="13" t="s">
        <v>727</v>
      </c>
    </row>
    <row r="1005" spans="1:5" x14ac:dyDescent="0.25">
      <c r="A1005" s="13">
        <v>20180827</v>
      </c>
      <c r="B1005" s="13" t="str">
        <f>"030356"</f>
        <v>030356</v>
      </c>
      <c r="C1005" s="13" t="s">
        <v>602</v>
      </c>
      <c r="D1005" s="14">
        <v>31.99</v>
      </c>
      <c r="E1005" s="13" t="s">
        <v>728</v>
      </c>
    </row>
    <row r="1006" spans="1:5" x14ac:dyDescent="0.25">
      <c r="A1006" s="13">
        <v>20180827</v>
      </c>
      <c r="B1006" s="13" t="str">
        <f>"030357"</f>
        <v>030357</v>
      </c>
      <c r="C1006" s="13" t="s">
        <v>582</v>
      </c>
      <c r="D1006" s="14">
        <v>351.79</v>
      </c>
      <c r="E1006" s="13" t="s">
        <v>729</v>
      </c>
    </row>
    <row r="1007" spans="1:5" x14ac:dyDescent="0.25">
      <c r="A1007" s="13">
        <v>20180827</v>
      </c>
      <c r="B1007" s="13" t="str">
        <f>"030358"</f>
        <v>030358</v>
      </c>
      <c r="C1007" s="13" t="s">
        <v>730</v>
      </c>
      <c r="D1007" s="14">
        <v>170</v>
      </c>
      <c r="E1007" s="13" t="s">
        <v>731</v>
      </c>
    </row>
    <row r="1008" spans="1:5" x14ac:dyDescent="0.25">
      <c r="A1008" s="13">
        <v>20180827</v>
      </c>
      <c r="B1008" s="13" t="str">
        <f>"030360"</f>
        <v>030360</v>
      </c>
      <c r="C1008" s="13" t="s">
        <v>345</v>
      </c>
      <c r="D1008" s="14">
        <v>750</v>
      </c>
      <c r="E1008" s="13" t="s">
        <v>732</v>
      </c>
    </row>
    <row r="1009" spans="1:5" x14ac:dyDescent="0.25">
      <c r="A1009" s="13">
        <v>20180830</v>
      </c>
      <c r="B1009" s="13" t="str">
        <f>"030362"</f>
        <v>030362</v>
      </c>
      <c r="C1009" s="13" t="s">
        <v>133</v>
      </c>
      <c r="D1009" s="14">
        <v>316.48</v>
      </c>
      <c r="E1009" s="13" t="s">
        <v>134</v>
      </c>
    </row>
    <row r="1010" spans="1:5" x14ac:dyDescent="0.25">
      <c r="A1010" s="13">
        <v>20180830</v>
      </c>
      <c r="B1010" s="13" t="str">
        <f>"030363"</f>
        <v>030363</v>
      </c>
      <c r="C1010" s="13" t="s">
        <v>8</v>
      </c>
      <c r="D1010" s="14">
        <v>800</v>
      </c>
      <c r="E1010" s="13" t="s">
        <v>733</v>
      </c>
    </row>
    <row r="1011" spans="1:5" x14ac:dyDescent="0.25">
      <c r="A1011" s="13">
        <v>20180831</v>
      </c>
      <c r="B1011" s="13" t="str">
        <f>"030364"</f>
        <v>030364</v>
      </c>
      <c r="C1011" s="13" t="s">
        <v>734</v>
      </c>
      <c r="D1011" s="14">
        <v>150</v>
      </c>
      <c r="E1011" s="13" t="s">
        <v>735</v>
      </c>
    </row>
    <row r="1012" spans="1:5" x14ac:dyDescent="0.25">
      <c r="A1012" s="13">
        <v>20180910</v>
      </c>
      <c r="B1012" s="13" t="str">
        <f>"030365"</f>
        <v>030365</v>
      </c>
      <c r="C1012" s="13" t="s">
        <v>281</v>
      </c>
      <c r="D1012" s="14">
        <v>504</v>
      </c>
      <c r="E1012" s="13" t="s">
        <v>736</v>
      </c>
    </row>
    <row r="1013" spans="1:5" x14ac:dyDescent="0.25">
      <c r="A1013" s="13">
        <v>20180910</v>
      </c>
      <c r="B1013" s="13" t="str">
        <f>"030366"</f>
        <v>030366</v>
      </c>
      <c r="C1013" s="13" t="s">
        <v>157</v>
      </c>
      <c r="D1013" s="14">
        <v>112.46</v>
      </c>
      <c r="E1013" s="13" t="s">
        <v>158</v>
      </c>
    </row>
    <row r="1014" spans="1:5" x14ac:dyDescent="0.25">
      <c r="A1014" s="13">
        <v>20180910</v>
      </c>
      <c r="B1014" s="13" t="str">
        <f>"030367"</f>
        <v>030367</v>
      </c>
      <c r="C1014" s="13" t="s">
        <v>144</v>
      </c>
      <c r="D1014" s="14">
        <v>153.5</v>
      </c>
      <c r="E1014" s="13" t="s">
        <v>737</v>
      </c>
    </row>
    <row r="1015" spans="1:5" x14ac:dyDescent="0.25">
      <c r="A1015" s="13">
        <v>20180910</v>
      </c>
      <c r="B1015" s="13" t="str">
        <f>"030368"</f>
        <v>030368</v>
      </c>
      <c r="C1015" s="13" t="s">
        <v>13</v>
      </c>
      <c r="D1015" s="14">
        <v>481.08</v>
      </c>
      <c r="E1015" s="13" t="s">
        <v>738</v>
      </c>
    </row>
    <row r="1016" spans="1:5" x14ac:dyDescent="0.25">
      <c r="A1016" s="13">
        <v>20180910</v>
      </c>
      <c r="B1016" s="13" t="str">
        <f>"030369"</f>
        <v>030369</v>
      </c>
      <c r="C1016" s="13" t="s">
        <v>123</v>
      </c>
      <c r="D1016" s="14">
        <v>1339.52</v>
      </c>
      <c r="E1016" s="13" t="s">
        <v>124</v>
      </c>
    </row>
    <row r="1017" spans="1:5" x14ac:dyDescent="0.25">
      <c r="A1017" s="13">
        <v>20180910</v>
      </c>
      <c r="B1017" s="13" t="str">
        <f>"030370"</f>
        <v>030370</v>
      </c>
      <c r="C1017" s="13" t="s">
        <v>4</v>
      </c>
      <c r="D1017" s="14">
        <v>26.98</v>
      </c>
      <c r="E1017" s="13" t="s">
        <v>739</v>
      </c>
    </row>
    <row r="1018" spans="1:5" x14ac:dyDescent="0.25">
      <c r="A1018" s="13">
        <v>20180910</v>
      </c>
      <c r="B1018" s="13" t="str">
        <f t="shared" ref="B1018:B1024" si="17">"030371"</f>
        <v>030371</v>
      </c>
      <c r="C1018" s="13" t="s">
        <v>2</v>
      </c>
      <c r="D1018" s="14">
        <v>34.18</v>
      </c>
      <c r="E1018" s="13" t="s">
        <v>740</v>
      </c>
    </row>
    <row r="1019" spans="1:5" x14ac:dyDescent="0.25">
      <c r="A1019" s="13">
        <v>20180910</v>
      </c>
      <c r="B1019" s="13" t="str">
        <f t="shared" si="17"/>
        <v>030371</v>
      </c>
      <c r="C1019" s="13" t="s">
        <v>2</v>
      </c>
      <c r="D1019" s="14">
        <v>87.48</v>
      </c>
      <c r="E1019" s="13"/>
    </row>
    <row r="1020" spans="1:5" x14ac:dyDescent="0.25">
      <c r="A1020" s="13">
        <v>20180910</v>
      </c>
      <c r="B1020" s="13" t="str">
        <f t="shared" si="17"/>
        <v>030371</v>
      </c>
      <c r="C1020" s="13" t="s">
        <v>2</v>
      </c>
      <c r="D1020" s="14">
        <v>40</v>
      </c>
      <c r="E1020" s="13" t="s">
        <v>741</v>
      </c>
    </row>
    <row r="1021" spans="1:5" x14ac:dyDescent="0.25">
      <c r="A1021" s="13">
        <v>20180910</v>
      </c>
      <c r="B1021" s="13" t="str">
        <f t="shared" si="17"/>
        <v>030371</v>
      </c>
      <c r="C1021" s="13" t="s">
        <v>2</v>
      </c>
      <c r="D1021" s="14">
        <v>49.98</v>
      </c>
      <c r="E1021" s="13" t="s">
        <v>742</v>
      </c>
    </row>
    <row r="1022" spans="1:5" x14ac:dyDescent="0.25">
      <c r="A1022" s="13">
        <v>20180910</v>
      </c>
      <c r="B1022" s="13" t="str">
        <f t="shared" si="17"/>
        <v>030371</v>
      </c>
      <c r="C1022" s="13" t="s">
        <v>2</v>
      </c>
      <c r="D1022" s="14">
        <v>44.78</v>
      </c>
      <c r="E1022" s="13" t="s">
        <v>743</v>
      </c>
    </row>
    <row r="1023" spans="1:5" x14ac:dyDescent="0.25">
      <c r="A1023" s="13">
        <v>20180910</v>
      </c>
      <c r="B1023" s="13" t="str">
        <f t="shared" si="17"/>
        <v>030371</v>
      </c>
      <c r="C1023" s="13" t="s">
        <v>2</v>
      </c>
      <c r="D1023" s="14">
        <v>20</v>
      </c>
      <c r="E1023" s="13" t="s">
        <v>744</v>
      </c>
    </row>
    <row r="1024" spans="1:5" x14ac:dyDescent="0.25">
      <c r="A1024" s="13">
        <v>20180910</v>
      </c>
      <c r="B1024" s="13" t="str">
        <f t="shared" si="17"/>
        <v>030371</v>
      </c>
      <c r="C1024" s="13" t="s">
        <v>2</v>
      </c>
      <c r="D1024" s="14">
        <v>19.27</v>
      </c>
      <c r="E1024" s="13" t="s">
        <v>745</v>
      </c>
    </row>
    <row r="1025" spans="1:5" x14ac:dyDescent="0.25">
      <c r="A1025" s="13">
        <v>20180910</v>
      </c>
      <c r="B1025" s="13" t="str">
        <f>"030372"</f>
        <v>030372</v>
      </c>
      <c r="C1025" s="13" t="s">
        <v>8</v>
      </c>
      <c r="D1025" s="14">
        <v>800</v>
      </c>
      <c r="E1025" s="13" t="s">
        <v>746</v>
      </c>
    </row>
    <row r="1026" spans="1:5" x14ac:dyDescent="0.25">
      <c r="A1026" s="13">
        <v>20180910</v>
      </c>
      <c r="B1026" s="13" t="str">
        <f>"030373"</f>
        <v>030373</v>
      </c>
      <c r="C1026" s="13" t="s">
        <v>747</v>
      </c>
      <c r="D1026" s="14">
        <v>100</v>
      </c>
      <c r="E1026" s="13" t="s">
        <v>748</v>
      </c>
    </row>
    <row r="1027" spans="1:5" x14ac:dyDescent="0.25">
      <c r="A1027" s="13">
        <v>20180910</v>
      </c>
      <c r="B1027" s="13" t="str">
        <f>"030374"</f>
        <v>030374</v>
      </c>
      <c r="C1027" s="13" t="s">
        <v>749</v>
      </c>
      <c r="D1027" s="14">
        <v>175</v>
      </c>
      <c r="E1027" s="13" t="s">
        <v>750</v>
      </c>
    </row>
    <row r="1028" spans="1:5" x14ac:dyDescent="0.25">
      <c r="A1028" s="13">
        <v>20180910</v>
      </c>
      <c r="B1028" s="13" t="str">
        <f>"030375"</f>
        <v>030375</v>
      </c>
      <c r="C1028" s="13" t="s">
        <v>248</v>
      </c>
      <c r="D1028" s="14">
        <v>388.88</v>
      </c>
      <c r="E1028" s="13" t="s">
        <v>751</v>
      </c>
    </row>
    <row r="1029" spans="1:5" x14ac:dyDescent="0.25">
      <c r="A1029" s="13">
        <v>20180910</v>
      </c>
      <c r="B1029" s="13" t="str">
        <f>"030376"</f>
        <v>030376</v>
      </c>
      <c r="C1029" s="13" t="s">
        <v>496</v>
      </c>
      <c r="D1029" s="14">
        <v>750</v>
      </c>
      <c r="E1029" s="13" t="s">
        <v>752</v>
      </c>
    </row>
    <row r="1030" spans="1:5" x14ac:dyDescent="0.25">
      <c r="A1030" s="13">
        <v>20180910</v>
      </c>
      <c r="B1030" s="13" t="str">
        <f>"030377"</f>
        <v>030377</v>
      </c>
      <c r="C1030" s="13" t="s">
        <v>197</v>
      </c>
      <c r="D1030" s="14">
        <v>59</v>
      </c>
      <c r="E1030" s="13" t="s">
        <v>753</v>
      </c>
    </row>
    <row r="1031" spans="1:5" x14ac:dyDescent="0.25">
      <c r="A1031" s="13">
        <v>20180925</v>
      </c>
      <c r="B1031" s="13" t="str">
        <f>"030398"</f>
        <v>030398</v>
      </c>
      <c r="C1031" s="13" t="s">
        <v>373</v>
      </c>
      <c r="D1031" s="14">
        <v>2</v>
      </c>
      <c r="E1031" s="13" t="s">
        <v>754</v>
      </c>
    </row>
    <row r="1032" spans="1:5" x14ac:dyDescent="0.25">
      <c r="A1032" s="13">
        <v>20180925</v>
      </c>
      <c r="B1032" s="13" t="str">
        <f>"030399"</f>
        <v>030399</v>
      </c>
      <c r="C1032" s="13" t="s">
        <v>86</v>
      </c>
      <c r="D1032" s="14">
        <v>950</v>
      </c>
      <c r="E1032" s="13" t="s">
        <v>755</v>
      </c>
    </row>
    <row r="1033" spans="1:5" x14ac:dyDescent="0.25">
      <c r="A1033" s="13">
        <v>20180925</v>
      </c>
      <c r="B1033" s="13" t="str">
        <f>"030400"</f>
        <v>030400</v>
      </c>
      <c r="C1033" s="13" t="s">
        <v>159</v>
      </c>
      <c r="D1033" s="14">
        <v>203.13</v>
      </c>
      <c r="E1033" s="13" t="s">
        <v>160</v>
      </c>
    </row>
    <row r="1034" spans="1:5" x14ac:dyDescent="0.25">
      <c r="A1034" s="13">
        <v>20180925</v>
      </c>
      <c r="B1034" s="13" t="str">
        <f>"030401"</f>
        <v>030401</v>
      </c>
      <c r="C1034" s="13" t="s">
        <v>496</v>
      </c>
      <c r="D1034" s="14">
        <v>250</v>
      </c>
      <c r="E1034" s="13" t="s">
        <v>756</v>
      </c>
    </row>
    <row r="1035" spans="1:5" x14ac:dyDescent="0.25">
      <c r="A1035" s="13">
        <v>20180926</v>
      </c>
      <c r="B1035" s="13" t="str">
        <f>"030431"</f>
        <v>030431</v>
      </c>
      <c r="C1035" s="13" t="s">
        <v>757</v>
      </c>
      <c r="D1035" s="14">
        <v>45</v>
      </c>
      <c r="E1035" s="13" t="s">
        <v>758</v>
      </c>
    </row>
    <row r="1036" spans="1:5" x14ac:dyDescent="0.25">
      <c r="A1036" s="13">
        <v>20180926</v>
      </c>
      <c r="B1036" s="13" t="str">
        <f>"030432"</f>
        <v>030432</v>
      </c>
      <c r="C1036" s="13" t="s">
        <v>586</v>
      </c>
      <c r="D1036" s="14">
        <v>51.38</v>
      </c>
      <c r="E1036" s="13" t="s">
        <v>759</v>
      </c>
    </row>
    <row r="1037" spans="1:5" x14ac:dyDescent="0.25">
      <c r="A1037" s="13">
        <v>20180926</v>
      </c>
      <c r="B1037" s="13" t="str">
        <f>"030433"</f>
        <v>030433</v>
      </c>
      <c r="C1037" s="13" t="s">
        <v>197</v>
      </c>
      <c r="D1037" s="14">
        <v>250</v>
      </c>
      <c r="E1037" s="13" t="s">
        <v>760</v>
      </c>
    </row>
    <row r="1038" spans="1:5" x14ac:dyDescent="0.25">
      <c r="A1038" s="13">
        <v>20180928</v>
      </c>
      <c r="B1038" s="13" t="str">
        <f>"030434"</f>
        <v>030434</v>
      </c>
      <c r="C1038" s="13" t="s">
        <v>761</v>
      </c>
      <c r="D1038" s="14">
        <v>277.81</v>
      </c>
      <c r="E1038" s="13" t="s">
        <v>762</v>
      </c>
    </row>
    <row r="1039" spans="1:5" x14ac:dyDescent="0.25">
      <c r="A1039" s="13">
        <v>20180301</v>
      </c>
      <c r="B1039" s="13" t="str">
        <f>"031801"</f>
        <v>031801</v>
      </c>
      <c r="C1039" s="13" t="s">
        <v>763</v>
      </c>
      <c r="D1039" s="14">
        <v>1156.25</v>
      </c>
      <c r="E1039" s="13" t="s">
        <v>764</v>
      </c>
    </row>
    <row r="1040" spans="1:5" x14ac:dyDescent="0.25">
      <c r="A1040" s="13">
        <v>20180307</v>
      </c>
      <c r="B1040" s="13" t="str">
        <f>"031804"</f>
        <v>031804</v>
      </c>
      <c r="C1040" s="13" t="s">
        <v>123</v>
      </c>
      <c r="D1040" s="14">
        <v>1219.29</v>
      </c>
      <c r="E1040" s="13" t="s">
        <v>124</v>
      </c>
    </row>
    <row r="1041" spans="1:5" x14ac:dyDescent="0.25">
      <c r="C1041" s="9" t="s">
        <v>791</v>
      </c>
      <c r="D1041" s="10">
        <f>SUM(D941:D1040)</f>
        <v>39579.839999999997</v>
      </c>
    </row>
    <row r="1042" spans="1:5" x14ac:dyDescent="0.25">
      <c r="A1042" s="1" t="s">
        <v>798</v>
      </c>
      <c r="D1042" s="4"/>
    </row>
    <row r="1043" spans="1:5" x14ac:dyDescent="0.25">
      <c r="A1043" s="13">
        <v>20180601</v>
      </c>
      <c r="B1043" s="13" t="str">
        <f>"061803"</f>
        <v>061803</v>
      </c>
      <c r="C1043" s="13" t="s">
        <v>763</v>
      </c>
      <c r="D1043" s="14">
        <v>1156.25</v>
      </c>
      <c r="E1043" s="13" t="s">
        <v>765</v>
      </c>
    </row>
    <row r="1044" spans="1:5" x14ac:dyDescent="0.25">
      <c r="A1044" s="13">
        <v>20170901</v>
      </c>
      <c r="B1044" s="13" t="str">
        <f>"091701"</f>
        <v>091701</v>
      </c>
      <c r="C1044" s="13" t="s">
        <v>44</v>
      </c>
      <c r="D1044" s="14">
        <v>1156.25</v>
      </c>
      <c r="E1044" s="13" t="s">
        <v>766</v>
      </c>
    </row>
    <row r="1045" spans="1:5" x14ac:dyDescent="0.25">
      <c r="A1045" s="13">
        <v>20171001</v>
      </c>
      <c r="B1045" s="13" t="str">
        <f>"101701"</f>
        <v>101701</v>
      </c>
      <c r="C1045" s="13" t="s">
        <v>44</v>
      </c>
      <c r="D1045" s="14">
        <v>2200</v>
      </c>
      <c r="E1045" s="13" t="s">
        <v>767</v>
      </c>
    </row>
    <row r="1046" spans="1:5" x14ac:dyDescent="0.25">
      <c r="A1046" s="13">
        <v>20171101</v>
      </c>
      <c r="B1046" s="13" t="str">
        <f>"111706"</f>
        <v>111706</v>
      </c>
      <c r="C1046" s="13" t="s">
        <v>44</v>
      </c>
      <c r="D1046" s="14">
        <v>229</v>
      </c>
      <c r="E1046" s="13" t="s">
        <v>768</v>
      </c>
    </row>
    <row r="1047" spans="1:5" x14ac:dyDescent="0.25">
      <c r="A1047" s="13">
        <v>20171201</v>
      </c>
      <c r="B1047" s="13" t="str">
        <f>"121703"</f>
        <v>121703</v>
      </c>
      <c r="C1047" s="13" t="s">
        <v>44</v>
      </c>
      <c r="D1047" s="14">
        <v>1156.25</v>
      </c>
      <c r="E1047" s="13" t="s">
        <v>163</v>
      </c>
    </row>
    <row r="1048" spans="1:5" x14ac:dyDescent="0.25">
      <c r="A1048" s="13">
        <v>20180201</v>
      </c>
      <c r="B1048" s="13" t="str">
        <f>"021801"</f>
        <v>021801</v>
      </c>
      <c r="C1048" s="13" t="s">
        <v>44</v>
      </c>
      <c r="D1048" s="14">
        <v>925</v>
      </c>
      <c r="E1048" s="13" t="s">
        <v>45</v>
      </c>
    </row>
    <row r="1049" spans="1:5" x14ac:dyDescent="0.25">
      <c r="A1049" s="13">
        <v>20180201</v>
      </c>
      <c r="B1049" s="13" t="str">
        <f>"021801"</f>
        <v>021801</v>
      </c>
      <c r="C1049" s="13" t="s">
        <v>44</v>
      </c>
      <c r="D1049" s="14">
        <v>3250</v>
      </c>
      <c r="E1049" s="13" t="s">
        <v>45</v>
      </c>
    </row>
    <row r="1050" spans="1:5" x14ac:dyDescent="0.25">
      <c r="A1050" s="13">
        <v>20180201</v>
      </c>
      <c r="B1050" s="13" t="str">
        <f>"021801"</f>
        <v>021801</v>
      </c>
      <c r="C1050" s="13" t="s">
        <v>44</v>
      </c>
      <c r="D1050" s="14">
        <v>10670</v>
      </c>
      <c r="E1050" s="13" t="s">
        <v>45</v>
      </c>
    </row>
    <row r="1051" spans="1:5" x14ac:dyDescent="0.25">
      <c r="C1051" t="s">
        <v>797</v>
      </c>
      <c r="D1051" s="4">
        <f>SUM(D1043:D1050)</f>
        <v>20742.75</v>
      </c>
    </row>
    <row r="1052" spans="1:5" x14ac:dyDescent="0.25">
      <c r="A1052" s="1"/>
      <c r="B1052" s="1"/>
      <c r="C1052" s="3" t="s">
        <v>792</v>
      </c>
      <c r="D1052" s="8">
        <f>SUM(D1051,D1041,D940,D914,D871,D747,D684,D592,D520,D421,D327,D254,D158)</f>
        <v>472805.54</v>
      </c>
      <c r="E1052" s="1"/>
    </row>
    <row r="1053" spans="1:5" x14ac:dyDescent="0.25">
      <c r="A1053" s="1"/>
      <c r="B1053" s="1"/>
      <c r="C1053" s="1"/>
      <c r="D1053" s="5"/>
      <c r="E1053" s="1"/>
    </row>
    <row r="1054" spans="1:5" x14ac:dyDescent="0.25">
      <c r="A1054" s="18" t="s">
        <v>800</v>
      </c>
      <c r="B1054" s="2"/>
      <c r="C1054" s="2"/>
      <c r="D1054" s="6"/>
      <c r="E1054" s="2"/>
    </row>
    <row r="1055" spans="1:5" x14ac:dyDescent="0.25">
      <c r="A1055" s="3" t="s">
        <v>775</v>
      </c>
      <c r="B1055" s="3" t="s">
        <v>776</v>
      </c>
      <c r="C1055" s="3" t="s">
        <v>777</v>
      </c>
      <c r="D1055" s="7" t="s">
        <v>778</v>
      </c>
      <c r="E1055" s="3" t="s">
        <v>779</v>
      </c>
    </row>
    <row r="1056" spans="1:5" x14ac:dyDescent="0.25">
      <c r="A1056" s="13">
        <v>20180612</v>
      </c>
      <c r="B1056" s="13" t="str">
        <f>"030246"</f>
        <v>030246</v>
      </c>
      <c r="C1056" s="13" t="s">
        <v>359</v>
      </c>
      <c r="D1056" s="14">
        <v>1542.09</v>
      </c>
      <c r="E1056" s="13" t="s">
        <v>769</v>
      </c>
    </row>
    <row r="1057" spans="1:5" x14ac:dyDescent="0.25">
      <c r="C1057" s="19" t="s">
        <v>799</v>
      </c>
      <c r="D1057" s="20">
        <f>SUM(D1056)</f>
        <v>1542.09</v>
      </c>
    </row>
    <row r="1058" spans="1:5" x14ac:dyDescent="0.25">
      <c r="D1058" s="4"/>
    </row>
    <row r="1059" spans="1:5" x14ac:dyDescent="0.25">
      <c r="A1059" s="1"/>
      <c r="B1059" s="1"/>
      <c r="C1059" s="3" t="s">
        <v>792</v>
      </c>
      <c r="D1059" s="8">
        <f>SUM(D1057)</f>
        <v>1542.09</v>
      </c>
      <c r="E1059" s="1"/>
    </row>
    <row r="1060" spans="1:5" x14ac:dyDescent="0.25">
      <c r="A1060" s="1"/>
      <c r="B1060" s="1"/>
      <c r="C1060" s="1"/>
      <c r="D1060" s="5"/>
      <c r="E1060" s="1"/>
    </row>
    <row r="1061" spans="1:5" x14ac:dyDescent="0.25">
      <c r="A1061" s="18" t="s">
        <v>801</v>
      </c>
      <c r="B1061" s="2"/>
      <c r="C1061" s="2"/>
      <c r="D1061" s="6"/>
      <c r="E1061" s="2"/>
    </row>
    <row r="1062" spans="1:5" x14ac:dyDescent="0.25">
      <c r="A1062" s="3" t="s">
        <v>775</v>
      </c>
      <c r="B1062" s="3" t="s">
        <v>776</v>
      </c>
      <c r="C1062" s="3" t="s">
        <v>777</v>
      </c>
      <c r="D1062" s="7" t="s">
        <v>778</v>
      </c>
      <c r="E1062" s="3" t="s">
        <v>779</v>
      </c>
    </row>
    <row r="1063" spans="1:5" x14ac:dyDescent="0.25">
      <c r="A1063" s="13">
        <v>20180612</v>
      </c>
      <c r="B1063" s="13" t="str">
        <f>"030236"</f>
        <v>030236</v>
      </c>
      <c r="C1063" s="13" t="s">
        <v>770</v>
      </c>
      <c r="D1063" s="14">
        <v>2726</v>
      </c>
      <c r="E1063" s="13" t="s">
        <v>771</v>
      </c>
    </row>
    <row r="1064" spans="1:5" x14ac:dyDescent="0.25">
      <c r="A1064" s="13">
        <v>20180612</v>
      </c>
      <c r="B1064" s="13" t="str">
        <f>"030237"</f>
        <v>030237</v>
      </c>
      <c r="C1064" s="13" t="s">
        <v>4</v>
      </c>
      <c r="D1064" s="14">
        <v>97.55</v>
      </c>
      <c r="E1064" s="13" t="s">
        <v>772</v>
      </c>
    </row>
    <row r="1065" spans="1:5" x14ac:dyDescent="0.25">
      <c r="C1065" s="19" t="s">
        <v>799</v>
      </c>
      <c r="D1065" s="20">
        <f>SUM(D1063:D1064)</f>
        <v>2823.55</v>
      </c>
    </row>
    <row r="1066" spans="1:5" x14ac:dyDescent="0.25">
      <c r="D1066" s="4"/>
    </row>
    <row r="1067" spans="1:5" x14ac:dyDescent="0.25">
      <c r="A1067" s="1"/>
      <c r="B1067" s="1"/>
      <c r="C1067" s="3" t="s">
        <v>792</v>
      </c>
      <c r="D1067" s="8">
        <f>SUM(D1065)</f>
        <v>2823.55</v>
      </c>
      <c r="E1067" s="1"/>
    </row>
    <row r="1068" spans="1:5" x14ac:dyDescent="0.25">
      <c r="A1068" s="1"/>
      <c r="B1068" s="1"/>
      <c r="C1068" s="1"/>
      <c r="D1068" s="5"/>
      <c r="E1068" s="1"/>
    </row>
    <row r="1070" spans="1:5" x14ac:dyDescent="0.25">
      <c r="D1070" s="4"/>
    </row>
  </sheetData>
  <mergeCells count="1">
    <mergeCell ref="A1:E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Victoria Sanchez</cp:lastModifiedBy>
  <dcterms:created xsi:type="dcterms:W3CDTF">2021-04-27T15:55:47Z</dcterms:created>
  <dcterms:modified xsi:type="dcterms:W3CDTF">2021-05-06T18:59:00Z</dcterms:modified>
</cp:coreProperties>
</file>