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hez\Desktop\Transparency\Check Registers 3 Fiscal Years\"/>
    </mc:Choice>
  </mc:AlternateContent>
  <xr:revisionPtr revIDLastSave="0" documentId="13_ncr:1_{E3CB44BB-0CB4-4BA1-A96D-525189A710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7" i="2" l="1"/>
  <c r="D1061" i="2"/>
  <c r="D1059" i="2"/>
  <c r="D1051" i="2"/>
  <c r="D1040" i="2"/>
  <c r="D1033" i="2"/>
  <c r="D1029" i="2"/>
  <c r="D1022" i="2"/>
  <c r="D1010" i="2"/>
  <c r="D928" i="2"/>
  <c r="D877" i="2"/>
  <c r="D819" i="2"/>
  <c r="D758" i="2"/>
  <c r="D661" i="2"/>
  <c r="D584" i="2"/>
  <c r="D488" i="2"/>
  <c r="D415" i="2"/>
  <c r="D337" i="2"/>
  <c r="D256" i="2"/>
  <c r="D193" i="2"/>
  <c r="D1053" i="2" l="1"/>
  <c r="D1079" i="2"/>
  <c r="D1035" i="2"/>
  <c r="D1024" i="2"/>
  <c r="D117" i="2"/>
  <c r="D111" i="2"/>
  <c r="D106" i="2"/>
  <c r="D103" i="2"/>
  <c r="D97" i="2"/>
  <c r="D90" i="2"/>
  <c r="D61" i="2"/>
  <c r="D66" i="2"/>
  <c r="D70" i="2"/>
  <c r="D72" i="2"/>
  <c r="D81" i="2"/>
  <c r="D49" i="2"/>
  <c r="D43" i="2"/>
  <c r="D33" i="2"/>
  <c r="D26" i="2"/>
  <c r="D21" i="2"/>
  <c r="D14" i="2"/>
  <c r="D9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0" i="2"/>
  <c r="B1058" i="2"/>
  <c r="B1057" i="2"/>
  <c r="B1050" i="2"/>
  <c r="B1049" i="2"/>
  <c r="B1048" i="2"/>
  <c r="B1047" i="2"/>
  <c r="B1046" i="2"/>
  <c r="B1045" i="2"/>
  <c r="B1044" i="2"/>
  <c r="B1043" i="2"/>
  <c r="B1042" i="2"/>
  <c r="B1041" i="2"/>
  <c r="B1039" i="2"/>
  <c r="B1032" i="2"/>
  <c r="B1031" i="2"/>
  <c r="B1030" i="2"/>
  <c r="B1028" i="2"/>
  <c r="B1021" i="2"/>
  <c r="B1020" i="2"/>
  <c r="B1019" i="2"/>
  <c r="B1018" i="2"/>
  <c r="B1017" i="2"/>
  <c r="B1016" i="2"/>
  <c r="B1015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014" i="2"/>
  <c r="B1013" i="2"/>
  <c r="B1012" i="2"/>
  <c r="B1011" i="2"/>
  <c r="B116" i="2"/>
  <c r="B115" i="2"/>
  <c r="B114" i="2"/>
  <c r="B113" i="2"/>
  <c r="B112" i="2"/>
  <c r="B110" i="2"/>
  <c r="B109" i="2"/>
  <c r="B108" i="2"/>
  <c r="B107" i="2"/>
  <c r="B105" i="2"/>
  <c r="B104" i="2"/>
  <c r="B102" i="2"/>
  <c r="B101" i="2"/>
  <c r="B100" i="2"/>
  <c r="B99" i="2"/>
  <c r="B98" i="2"/>
  <c r="B96" i="2"/>
  <c r="B95" i="2"/>
  <c r="B94" i="2"/>
  <c r="B93" i="2"/>
  <c r="B92" i="2"/>
  <c r="B91" i="2"/>
  <c r="B89" i="2"/>
  <c r="B88" i="2"/>
  <c r="B87" i="2"/>
  <c r="B80" i="2"/>
  <c r="B79" i="2"/>
  <c r="B78" i="2"/>
  <c r="B77" i="2"/>
  <c r="B76" i="2"/>
  <c r="B75" i="2"/>
  <c r="B74" i="2"/>
  <c r="B73" i="2"/>
  <c r="B71" i="2"/>
  <c r="B69" i="2"/>
  <c r="B68" i="2"/>
  <c r="B67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2" i="2"/>
  <c r="B31" i="2"/>
  <c r="B30" i="2"/>
  <c r="B29" i="2"/>
  <c r="B28" i="2"/>
  <c r="B27" i="2"/>
  <c r="B25" i="2"/>
  <c r="B24" i="2"/>
  <c r="B23" i="2"/>
  <c r="B22" i="2"/>
  <c r="B20" i="2"/>
  <c r="B19" i="2"/>
  <c r="B18" i="2"/>
  <c r="B17" i="2"/>
  <c r="B16" i="2"/>
  <c r="B15" i="2"/>
  <c r="B13" i="2"/>
  <c r="B12" i="2"/>
  <c r="B11" i="2"/>
  <c r="B10" i="2"/>
  <c r="B8" i="2"/>
  <c r="B7" i="2"/>
  <c r="B6" i="2"/>
  <c r="B5" i="2"/>
  <c r="B4" i="2"/>
  <c r="D83" i="2" l="1"/>
  <c r="D119" i="2"/>
</calcChain>
</file>

<file path=xl/sharedStrings.xml><?xml version="1.0" encoding="utf-8"?>
<sst xmlns="http://schemas.openxmlformats.org/spreadsheetml/2006/main" count="2105" uniqueCount="770">
  <si>
    <t>Labatt Food Service</t>
  </si>
  <si>
    <t>Labatt Food Service LLC</t>
  </si>
  <si>
    <t>GAS CARD</t>
  </si>
  <si>
    <t>Reg 18 Travel</t>
  </si>
  <si>
    <t xml:space="preserve">MASTERCARD - CARD </t>
  </si>
  <si>
    <t>School Nutri Wkshp Lodging</t>
  </si>
  <si>
    <t>Chelo Salmon</t>
  </si>
  <si>
    <t>School Nutri Wkshp Meals</t>
  </si>
  <si>
    <t>School Nutri Wkshp San Angelo</t>
  </si>
  <si>
    <t xml:space="preserve">TX DEPARTMENT OF STATE </t>
  </si>
  <si>
    <t>Tx Dept State Health Permit</t>
  </si>
  <si>
    <t>REGION 18 ESC</t>
  </si>
  <si>
    <t>Food Handler's Cert C Salmon</t>
  </si>
  <si>
    <t>FUEL/Food Nutrition WS</t>
  </si>
  <si>
    <t>Timothy Noel Thayer</t>
  </si>
  <si>
    <t>Library Renovation</t>
  </si>
  <si>
    <t>ABACUS COMPUTERS INC.</t>
  </si>
  <si>
    <t>2-InfocusTouch Interactive bds</t>
  </si>
  <si>
    <t>ALPINE PLUMBCO, LLC</t>
  </si>
  <si>
    <t>HS Hallway Repairs</t>
  </si>
  <si>
    <t>Elementary Sidewalk</t>
  </si>
  <si>
    <t>WINDOW SEALING</t>
  </si>
  <si>
    <t>Entry Doors/Closures Repairs</t>
  </si>
  <si>
    <t>Paint for Hallway Ceiling</t>
  </si>
  <si>
    <t>Elementary Front Trim Painting</t>
  </si>
  <si>
    <t xml:space="preserve">FAIRWAY ARCHITECTURAL </t>
  </si>
  <si>
    <t>21-EXT DOOR TRIM KITS</t>
  </si>
  <si>
    <t>MES Entry Repairs</t>
  </si>
  <si>
    <t>Playgrounds Etc, LLC</t>
  </si>
  <si>
    <t>Playgrd Surfacing Quote 14209</t>
  </si>
  <si>
    <t>Playground Equip. Quote 14211</t>
  </si>
  <si>
    <t>Interactive Panels/Mounts/Proj</t>
  </si>
  <si>
    <t>HS/Elem Variety Projects</t>
  </si>
  <si>
    <t>Weather Stripping Doors</t>
  </si>
  <si>
    <t>U Construction LLC</t>
  </si>
  <si>
    <t>Elem Summer Restroom Project</t>
  </si>
  <si>
    <t xml:space="preserve">TASB RISK MANAGEMENT </t>
  </si>
  <si>
    <t>Property Casuality Liability C</t>
  </si>
  <si>
    <t>DISH</t>
  </si>
  <si>
    <t>SATELITE DISH SERVICES</t>
  </si>
  <si>
    <t>BIG BEND TELEPHONE CO</t>
  </si>
  <si>
    <t>VOIP/INTERNET SVS/ERATE</t>
  </si>
  <si>
    <t xml:space="preserve">BREWSTER COUNTY </t>
  </si>
  <si>
    <t>TAX COLLECTIONS</t>
  </si>
  <si>
    <t>BREWSTER COUNTY TAX A/C</t>
  </si>
  <si>
    <t>2006 Registration</t>
  </si>
  <si>
    <t>EQUITY CENTER</t>
  </si>
  <si>
    <t>2018-19 Membership Dues</t>
  </si>
  <si>
    <t>IMAGINE LEARNING, INC.</t>
  </si>
  <si>
    <t>Imagine Math</t>
  </si>
  <si>
    <t>SPAN TEXTBOOK</t>
  </si>
  <si>
    <t>BIO TXTBKS/PEARSON</t>
  </si>
  <si>
    <t>DC MATH TXTBKS</t>
  </si>
  <si>
    <t>MCCOY'S #86</t>
  </si>
  <si>
    <t>Maint supplies - Sept</t>
  </si>
  <si>
    <t>MORRISON TRUE VALUE</t>
  </si>
  <si>
    <t>NATIONAL HONOR SOCIETY</t>
  </si>
  <si>
    <t>NHS Fees</t>
  </si>
  <si>
    <t>ODESSA COLLEGE</t>
  </si>
  <si>
    <t>Dual Credit Tuition Online</t>
  </si>
  <si>
    <t xml:space="preserve">RENAISSANCE LEARNING, </t>
  </si>
  <si>
    <t>Subscription Renewal</t>
  </si>
  <si>
    <t>TASB, INC.</t>
  </si>
  <si>
    <t>Annual Subscription HR Service</t>
  </si>
  <si>
    <t>Boardbook Subscription</t>
  </si>
  <si>
    <t xml:space="preserve">Texas Assoc of Community </t>
  </si>
  <si>
    <t>The Brokerage Store, Inc</t>
  </si>
  <si>
    <t>Student/Athletic Accident Ins</t>
  </si>
  <si>
    <t xml:space="preserve">UNIVERSITY </t>
  </si>
  <si>
    <t>2018-19 Membership dues</t>
  </si>
  <si>
    <t xml:space="preserve">UNIVERSITY OF TEXAS - </t>
  </si>
  <si>
    <t>VOCABULARY SPELLING CITY</t>
  </si>
  <si>
    <t>ELAR Renewal 2018-19</t>
  </si>
  <si>
    <t>AT&amp;T</t>
  </si>
  <si>
    <t>LONG DISTANCE SERVICES</t>
  </si>
  <si>
    <t>ATHLETIC SUPPLY, INC.</t>
  </si>
  <si>
    <t>10Volleyballs, Volleyball Cart</t>
  </si>
  <si>
    <t>BOOK SYSTEMS, INC.</t>
  </si>
  <si>
    <t>Concourse Network Contract Lib</t>
  </si>
  <si>
    <t>BUENA VISTA ISD</t>
  </si>
  <si>
    <t>District 10A Fees</t>
  </si>
  <si>
    <t>CMC BUSINESS SYSTEMS C/0</t>
  </si>
  <si>
    <t>COPIER LEASE</t>
  </si>
  <si>
    <t>CUTTING eDGe Advertising</t>
  </si>
  <si>
    <t>2 Banners</t>
  </si>
  <si>
    <t xml:space="preserve">EDUCATIONAL TESTING </t>
  </si>
  <si>
    <t xml:space="preserve">RESCORE ESSAY AND </t>
  </si>
  <si>
    <t>ISTATION</t>
  </si>
  <si>
    <t>AR Reading Renewal</t>
  </si>
  <si>
    <t xml:space="preserve">JOHNSON FEED &amp; WESTERN </t>
  </si>
  <si>
    <t>Supplies for chicken project</t>
  </si>
  <si>
    <t>MARY LOU B LUJAN</t>
  </si>
  <si>
    <t>School Health Services</t>
  </si>
  <si>
    <t>UTPB DC Gov DigitalTextbook</t>
  </si>
  <si>
    <t>UTPB US History Required Text</t>
  </si>
  <si>
    <t>HS Career Fair - Midland</t>
  </si>
  <si>
    <t>DC students meals UTPB</t>
  </si>
  <si>
    <t>FUEL/DC/UTPB</t>
  </si>
  <si>
    <t>Clean/Press Donated TableCloth</t>
  </si>
  <si>
    <t>UIL DEC Mtg @ Ft Stockton</t>
  </si>
  <si>
    <t>Toliet Seat/Spackling Compound</t>
  </si>
  <si>
    <t>McCoy's Building Supply</t>
  </si>
  <si>
    <t>CTE Project Materials</t>
  </si>
  <si>
    <t>Tools for CTE</t>
  </si>
  <si>
    <t>PEARSON EDUCATION</t>
  </si>
  <si>
    <t>NCCER Core Curr Textbks</t>
  </si>
  <si>
    <t>QUILL CORPORATION</t>
  </si>
  <si>
    <t xml:space="preserve">HDMI CABLES, </t>
  </si>
  <si>
    <t>Supplies</t>
  </si>
  <si>
    <t xml:space="preserve">RAINWATER MOTOR </t>
  </si>
  <si>
    <t>Mini Van service, inspection</t>
  </si>
  <si>
    <t>4 Tires for Trailer</t>
  </si>
  <si>
    <t xml:space="preserve">EDLINK SUPPORT &amp; </t>
  </si>
  <si>
    <t>Richardson Dairy Queen</t>
  </si>
  <si>
    <t>Cross Country Meals</t>
  </si>
  <si>
    <t>SANTANDER BANK N.A.</t>
  </si>
  <si>
    <t>BUS LEASE</t>
  </si>
  <si>
    <t>School Outfitters</t>
  </si>
  <si>
    <t>Outdoor Cork Bulletin</t>
  </si>
  <si>
    <t>TASBO</t>
  </si>
  <si>
    <t>PEIMS Academy-Allen, TX</t>
  </si>
  <si>
    <t xml:space="preserve">TEXAS STATE LIBRARY &amp; </t>
  </si>
  <si>
    <t xml:space="preserve">ONLINE RESEARCH </t>
  </si>
  <si>
    <t>KAY WHITLEY</t>
  </si>
  <si>
    <t>MS Volleyball Official</t>
  </si>
  <si>
    <t>WTG FUELS, INC</t>
  </si>
  <si>
    <t>FUEL</t>
  </si>
  <si>
    <t>DANNY ARMSTRONG</t>
  </si>
  <si>
    <t>Reimb for Vehicle Registration</t>
  </si>
  <si>
    <t>AT&amp;T MOBILITY</t>
  </si>
  <si>
    <t>WIRELESS SVS</t>
  </si>
  <si>
    <t>MS - Volleyball Uniforms</t>
  </si>
  <si>
    <t xml:space="preserve">B&amp;H FOTO &amp; ELECTRIONICS </t>
  </si>
  <si>
    <t>Photography Supplies</t>
  </si>
  <si>
    <t>Online 1/2 day training</t>
  </si>
  <si>
    <t xml:space="preserve">BREWSTER CNTY APPRAISAL </t>
  </si>
  <si>
    <t>COUNTY APPRAISAL SVS</t>
  </si>
  <si>
    <t>Expedtion Registration Renewal</t>
  </si>
  <si>
    <t>DIRECT ENERGY BUSINESS</t>
  </si>
  <si>
    <t>UTILITIES/ELECTRICITY</t>
  </si>
  <si>
    <t>DOUBLE R WELDING SUPPLY</t>
  </si>
  <si>
    <t>NCCER Welding Supplies</t>
  </si>
  <si>
    <t>ELVINS AUTO REPAIR</t>
  </si>
  <si>
    <t>D.O.T. Bus Inspection</t>
  </si>
  <si>
    <t>Reg 18 Workshp Verification</t>
  </si>
  <si>
    <t>ERIN GASS</t>
  </si>
  <si>
    <t xml:space="preserve">LEGO'S FOR ELEM MATH </t>
  </si>
  <si>
    <t>MARATHON WATER &amp; SEWER</t>
  </si>
  <si>
    <t>PO Created by Req: 062089</t>
  </si>
  <si>
    <t>Maint Supplies</t>
  </si>
  <si>
    <t>ELem Reading Consumables</t>
  </si>
  <si>
    <t>PEPITO'S CAFE</t>
  </si>
  <si>
    <t>HS College/Career Day Meals</t>
  </si>
  <si>
    <t xml:space="preserve">PRESIDIO COUNTY MEDICAL </t>
  </si>
  <si>
    <t>Bus Driver Physical</t>
  </si>
  <si>
    <t>10 CASES OF WATER FOR X-</t>
  </si>
  <si>
    <t xml:space="preserve">INFORMATION SYSTEMS </t>
  </si>
  <si>
    <t>MS Volleybal Travel</t>
  </si>
  <si>
    <t>Robert Brotherton</t>
  </si>
  <si>
    <t>Reimb for District X-C supp</t>
  </si>
  <si>
    <t>Local District Policy Update</t>
  </si>
  <si>
    <t>TEJAS MANUFACTURING CO</t>
  </si>
  <si>
    <t>Student Letter Jackets</t>
  </si>
  <si>
    <t>Texas Disposal Systems, Inc</t>
  </si>
  <si>
    <t>WASTE DISPOSAL</t>
  </si>
  <si>
    <t>VICK'S PLUMBING, INC.</t>
  </si>
  <si>
    <t>Plumbing services</t>
  </si>
  <si>
    <t>VB official</t>
  </si>
  <si>
    <t>Computex Inc.</t>
  </si>
  <si>
    <t>Prior Year AP/Corral/Supt/Conn</t>
  </si>
  <si>
    <t>Prior Year/WiFi Connectivity</t>
  </si>
  <si>
    <t>Prior Year/WiFi Connect/E-Rate</t>
  </si>
  <si>
    <t xml:space="preserve">DOCUMENT TRACKING </t>
  </si>
  <si>
    <t>Licensing Agreement</t>
  </si>
  <si>
    <t>JARRETT PUBLISHING CO.</t>
  </si>
  <si>
    <t>8TH SOCIAL STUD TEKS</t>
  </si>
  <si>
    <t>School Health Svs/Oct 10-11</t>
  </si>
  <si>
    <t xml:space="preserve">HS Field Trip UTPB </t>
  </si>
  <si>
    <t>MISC COSTS/AUDIT VISIT</t>
  </si>
  <si>
    <t>Math Night Refreshments</t>
  </si>
  <si>
    <t>Pallet of Copy Paper</t>
  </si>
  <si>
    <t>CSS Support for PreK</t>
  </si>
  <si>
    <t>CG/Reg Fee/Allen Tx/PEIMS</t>
  </si>
  <si>
    <t>TW HEAT &amp; AIR LLC</t>
  </si>
  <si>
    <t>Repair 2 heater units at Elem</t>
  </si>
  <si>
    <t>WhataBurger</t>
  </si>
  <si>
    <t>MS Volleyball travel</t>
  </si>
  <si>
    <t>GT 30 hour Training</t>
  </si>
  <si>
    <t>AA CHEMICAL</t>
  </si>
  <si>
    <t>Custodial Supplies</t>
  </si>
  <si>
    <t>Girls Basketball Uniforms</t>
  </si>
  <si>
    <t>Basketball Bags</t>
  </si>
  <si>
    <t xml:space="preserve">BARNES &amp; NOBLE </t>
  </si>
  <si>
    <t>Kinder/1st Sci supplies</t>
  </si>
  <si>
    <t xml:space="preserve">CORRAL ENVIRONMENTAL </t>
  </si>
  <si>
    <t>Asbestos Mgt 2018-19</t>
  </si>
  <si>
    <t>Dr James Luecke</t>
  </si>
  <si>
    <t>Bus Driver Physicals</t>
  </si>
  <si>
    <t>FLINN SCIENTIFIC INC.</t>
  </si>
  <si>
    <t>3 Advanced  Microscopes</t>
  </si>
  <si>
    <t>Robie Golden</t>
  </si>
  <si>
    <t>Shower curtain, rods, hooks, m</t>
  </si>
  <si>
    <t>Novel/My Word/Dual Credit</t>
  </si>
  <si>
    <t>Permian Playhoue field trip</t>
  </si>
  <si>
    <t>Lunch-students taking ACT test</t>
  </si>
  <si>
    <t>UTPB Campus Visit 10/22 Meals</t>
  </si>
  <si>
    <t>Fuel/ACT Tests</t>
  </si>
  <si>
    <t>Permian Playhouse Play tickets</t>
  </si>
  <si>
    <t>EC/PK/K/Ist CurriculumFieldTrp</t>
  </si>
  <si>
    <t>ACT Testing 4 @80.50</t>
  </si>
  <si>
    <t>In and Out Rental/Hose/Straine</t>
  </si>
  <si>
    <t>UHaul Rental Wink ISD Furnitur</t>
  </si>
  <si>
    <t>Fuel/Wink/Furniture</t>
  </si>
  <si>
    <t xml:space="preserve">Community Thanksgiving </t>
  </si>
  <si>
    <t>Item Returned</t>
  </si>
  <si>
    <t>Maint supplies</t>
  </si>
  <si>
    <t>Region 18 Professional Devel</t>
  </si>
  <si>
    <t>REMIND 101, INC.</t>
  </si>
  <si>
    <t>Remind Plan</t>
  </si>
  <si>
    <t>JOHN C. ROBERTS</t>
  </si>
  <si>
    <t>Water leak in basement</t>
  </si>
  <si>
    <t>SIXTO'S SERVICE STATION</t>
  </si>
  <si>
    <t>Vechicle Maintenance</t>
  </si>
  <si>
    <t>TEDFORD'S</t>
  </si>
  <si>
    <t>Classrom/entrance keys</t>
  </si>
  <si>
    <t>WEST TEXAS FIRE EXT.</t>
  </si>
  <si>
    <t>Annual Inspection</t>
  </si>
  <si>
    <t>PROPANE</t>
  </si>
  <si>
    <t>ALPINE ISD, 588 CO-0P</t>
  </si>
  <si>
    <t>Membership Contribution</t>
  </si>
  <si>
    <t>Install Sink/ Vanity Girls DR</t>
  </si>
  <si>
    <t xml:space="preserve">WALSH GALLEGOS TREVINO </t>
  </si>
  <si>
    <t>Legal Services</t>
  </si>
  <si>
    <t>LAKESHORE</t>
  </si>
  <si>
    <t>PreK Tech License Smt Bd</t>
  </si>
  <si>
    <t>SUPPLIES/INST/DIST/OFFICE</t>
  </si>
  <si>
    <t>CPR Course Certifi for Seniors</t>
  </si>
  <si>
    <t>BOARD/PB/BACKUP/15356</t>
  </si>
  <si>
    <t>BSN SPORTS</t>
  </si>
  <si>
    <t>10 Stopwatch</t>
  </si>
  <si>
    <t>Elementary Math Supplies</t>
  </si>
  <si>
    <t>VEHICLE MAINTENANCE</t>
  </si>
  <si>
    <t>Tires for Expedition</t>
  </si>
  <si>
    <t>TASB Legal Membership Contrib</t>
  </si>
  <si>
    <t xml:space="preserve">WESTERN TECHNICAL </t>
  </si>
  <si>
    <t>Student taking Welding Test</t>
  </si>
  <si>
    <t>Basketball Supplies</t>
  </si>
  <si>
    <t>DC Jazz Concert meals</t>
  </si>
  <si>
    <t>History Fair Express Mailing</t>
  </si>
  <si>
    <t>Materials for picnic tables</t>
  </si>
  <si>
    <t>Custodian Commercial Vac</t>
  </si>
  <si>
    <t>AC Air Filters</t>
  </si>
  <si>
    <t>MSB</t>
  </si>
  <si>
    <t>CONSULTANT SVS</t>
  </si>
  <si>
    <t>Office Depot, Inc.</t>
  </si>
  <si>
    <t>File Cabinets</t>
  </si>
  <si>
    <t>EDLINK/ERATE</t>
  </si>
  <si>
    <t xml:space="preserve">TASBO </t>
  </si>
  <si>
    <t>TERRELL COUNTY ISD</t>
  </si>
  <si>
    <t>JH BB Concession Meals-11/29</t>
  </si>
  <si>
    <t>Custodial Supplies for Gym</t>
  </si>
  <si>
    <t xml:space="preserve">Agency 405 Crime Records </t>
  </si>
  <si>
    <t>Background Chk  2018-2019</t>
  </si>
  <si>
    <t>RICHARD KENT BARLOW</t>
  </si>
  <si>
    <t>Game Score Book Keeper</t>
  </si>
  <si>
    <t>2019 Bus Vehicle Registr Fee</t>
  </si>
  <si>
    <t>School Board Recong Plague</t>
  </si>
  <si>
    <t>FORT DAVIS ISD</t>
  </si>
  <si>
    <t>Varsity BB Meals @ Ft Davis</t>
  </si>
  <si>
    <t>ELY GALLEGO</t>
  </si>
  <si>
    <t>Official/Dec 4 VBB/Comstock</t>
  </si>
  <si>
    <t>BB Official</t>
  </si>
  <si>
    <t>ISAAC GALLEGO</t>
  </si>
  <si>
    <t>Transportation Related Travel</t>
  </si>
  <si>
    <t>Lubbock - Bus Dealer</t>
  </si>
  <si>
    <t>MS Volleyball travel Midland</t>
  </si>
  <si>
    <t>Fuel DEC Mtg Rankin ISD/Ft. St</t>
  </si>
  <si>
    <t>J&amp;G STATION/GRILL</t>
  </si>
  <si>
    <t>Ice for BB</t>
  </si>
  <si>
    <t>Rockland O. Owens</t>
  </si>
  <si>
    <t>Pitney Bowes Purchase Power</t>
  </si>
  <si>
    <t>Postage &amp; Meter Supplies</t>
  </si>
  <si>
    <t>Plastic Table Covers</t>
  </si>
  <si>
    <t>Time Clock ink, paper goods</t>
  </si>
  <si>
    <t>Dist Test Coord Training fee</t>
  </si>
  <si>
    <t>EUGENE SPRINGFIELD</t>
  </si>
  <si>
    <t>Smart Boards installed</t>
  </si>
  <si>
    <t>Varsity BB Meals vs Comstock</t>
  </si>
  <si>
    <t xml:space="preserve">Varsity vs Comstock @ </t>
  </si>
  <si>
    <t>ANTUAN T WASHINGTON</t>
  </si>
  <si>
    <t>School Board Election Service</t>
  </si>
  <si>
    <t>BUSH'S CHICKEN</t>
  </si>
  <si>
    <t>UIL ELem/JH Dinner Meals</t>
  </si>
  <si>
    <t>Clear tubs w/lids Elem Sci Lab</t>
  </si>
  <si>
    <t>Elem Field Trip Meals</t>
  </si>
  <si>
    <t>Meals Travel El Paso Welding T</t>
  </si>
  <si>
    <t>Elem field Trip  -Tickets Play</t>
  </si>
  <si>
    <t>Bus Headlight replaced</t>
  </si>
  <si>
    <t>ECHS Industrial Tour movies/sn</t>
  </si>
  <si>
    <t>UIL Hearing Hotel Stay Ausitn</t>
  </si>
  <si>
    <t>Paint for Library</t>
  </si>
  <si>
    <t>GT Training Registration Fee</t>
  </si>
  <si>
    <t>EOY SUBMISSION FORMS</t>
  </si>
  <si>
    <t>TASA</t>
  </si>
  <si>
    <t>Mid-Winter Conference Registra</t>
  </si>
  <si>
    <t>Online Internet Services</t>
  </si>
  <si>
    <t>TASB Policy Sevr Membership</t>
  </si>
  <si>
    <t>2 Unit Projector Mounts Elem</t>
  </si>
  <si>
    <t>ALPINE AVALANCHE</t>
  </si>
  <si>
    <t>Public Notice/FIRST Hearing</t>
  </si>
  <si>
    <t>Blue Star Bus Sales, LTD</t>
  </si>
  <si>
    <t>Bus Maint</t>
  </si>
  <si>
    <t>Travel to El Paso Welding Test</t>
  </si>
  <si>
    <t>Supt Travel UIL Hearing Austin</t>
  </si>
  <si>
    <t>PK WORKSHOP FEE</t>
  </si>
  <si>
    <t>School Specialty Marketplace</t>
  </si>
  <si>
    <t>File Cabinet Heavy Duty</t>
  </si>
  <si>
    <t>Varsity BB Tourn Meals</t>
  </si>
  <si>
    <t>Clint J Aragon</t>
  </si>
  <si>
    <t>Discount PC</t>
  </si>
  <si>
    <t>Dell Latitude E5530 i7 Laptops</t>
  </si>
  <si>
    <t>Yearly Cylinder Leases Welding</t>
  </si>
  <si>
    <t>Meals -ECHS Industry Trip Midl</t>
  </si>
  <si>
    <t>Cordless Hammer Drill/Access</t>
  </si>
  <si>
    <t>RANKIN ISD</t>
  </si>
  <si>
    <t>UIL Elem/JJH Concession Meals</t>
  </si>
  <si>
    <t>SUBWAY #11740-0</t>
  </si>
  <si>
    <t>BigBend Livestock Show Meals</t>
  </si>
  <si>
    <t>Maint on 2 Elem AC/Heaters</t>
  </si>
  <si>
    <t>First Aid, CPR, and FA</t>
  </si>
  <si>
    <t>AEP TEXAS</t>
  </si>
  <si>
    <t>RENTAL/LIGHT POLES</t>
  </si>
  <si>
    <t>Varsity Boys Dinner Reimb</t>
  </si>
  <si>
    <t>PAUL CASIAS</t>
  </si>
  <si>
    <t>Inspection New Bluebird Bus</t>
  </si>
  <si>
    <t>CANDY HERNANDEZ</t>
  </si>
  <si>
    <t>Reimb Chicken feed</t>
  </si>
  <si>
    <t>HAYES WEST</t>
  </si>
  <si>
    <t>2018-19 Student Private Transp</t>
  </si>
  <si>
    <t>ECKERT &amp; COMPANY, CPA</t>
  </si>
  <si>
    <t>Annual Financial Audit</t>
  </si>
  <si>
    <t>ECHS Day Planners</t>
  </si>
  <si>
    <t>MS BB Travel Meal Reimb</t>
  </si>
  <si>
    <t>EC/PK Supplies</t>
  </si>
  <si>
    <t>TEKS Resource System</t>
  </si>
  <si>
    <t>DMAC Services 2018-2019</t>
  </si>
  <si>
    <t>PD/Discipline in the Classroom</t>
  </si>
  <si>
    <t>CSS Services 2018-19</t>
  </si>
  <si>
    <t>Reg18 Req Trng Cert Svs2018-</t>
  </si>
  <si>
    <t>PURCHASING COOP FEE</t>
  </si>
  <si>
    <t>SCHOOL FINANCE SERVICES</t>
  </si>
  <si>
    <t>CRAIG CARTER</t>
  </si>
  <si>
    <t>COLLEGE BOARD</t>
  </si>
  <si>
    <t>PSAT/SAT Fall Testing 2018</t>
  </si>
  <si>
    <t>Fitness Finders</t>
  </si>
  <si>
    <t>Learning Incentives</t>
  </si>
  <si>
    <t>Mitchell Barron</t>
  </si>
  <si>
    <t>Annual Financial Report</t>
  </si>
  <si>
    <t>Public Notice/RFP Playground E</t>
  </si>
  <si>
    <t>ALPINE ISD</t>
  </si>
  <si>
    <t>Bus Parts/Sup Fall-Invoice</t>
  </si>
  <si>
    <t>PE- Jump Ropes</t>
  </si>
  <si>
    <t>AUTOZONE</t>
  </si>
  <si>
    <t>Vehicle Maint Supplies</t>
  </si>
  <si>
    <t>Library Scanner</t>
  </si>
  <si>
    <t>Registration Fee</t>
  </si>
  <si>
    <t>MS BB Travel</t>
  </si>
  <si>
    <t>ROLANDO CHAVEZ</t>
  </si>
  <si>
    <t>MS travel UTPB BB game</t>
  </si>
  <si>
    <t>MidWinter Conf Austin Travel</t>
  </si>
  <si>
    <t>Student Istation Math</t>
  </si>
  <si>
    <t>MS travel UTPB BB game meals</t>
  </si>
  <si>
    <t>TASA MidWinter Lodging/2</t>
  </si>
  <si>
    <t>Board Appreciation Refrshmts</t>
  </si>
  <si>
    <t>Brewster Co Landfill</t>
  </si>
  <si>
    <t>US/TX Flags Elem/HS</t>
  </si>
  <si>
    <t>18 Dual Credit Courses</t>
  </si>
  <si>
    <t>PITNEY BOWES, INC.</t>
  </si>
  <si>
    <t>POSTAGE METER</t>
  </si>
  <si>
    <t>Water, Snacks for Testing</t>
  </si>
  <si>
    <t xml:space="preserve">REGION 12 EDUCATION </t>
  </si>
  <si>
    <t>E-Rate Works Category One</t>
  </si>
  <si>
    <t>SCHOOL SPECIALTY</t>
  </si>
  <si>
    <t xml:space="preserve">School Board </t>
  </si>
  <si>
    <t>Facilities Management</t>
  </si>
  <si>
    <t>ELem Heater Serviced</t>
  </si>
  <si>
    <t>GEORGE VALERIO</t>
  </si>
  <si>
    <t>Mop, Handle, Frame, Flooroil</t>
  </si>
  <si>
    <t>Tail light Replacement</t>
  </si>
  <si>
    <t>Robert Jerry Brotherton</t>
  </si>
  <si>
    <t>Meals/Tennis/Reagan Co</t>
  </si>
  <si>
    <t>bswift, LLC</t>
  </si>
  <si>
    <t>IRS6055 Filing Requirements Sv</t>
  </si>
  <si>
    <t>MEALS/BB/RANKIN</t>
  </si>
  <si>
    <t>CDW GOVERNMENT</t>
  </si>
  <si>
    <t>Adobe Creative Cloud for Teams</t>
  </si>
  <si>
    <t>Grandfalls-Royalty ISD</t>
  </si>
  <si>
    <t>Varsity BB Meals @ Grandfalls</t>
  </si>
  <si>
    <t>WESLEY MARTIN</t>
  </si>
  <si>
    <t>Fire Alarm Battery Replacement</t>
  </si>
  <si>
    <t>UTPB- DC College Trip</t>
  </si>
  <si>
    <t xml:space="preserve">MISC COSTS/REIMB/ FIN </t>
  </si>
  <si>
    <t>McDonald's</t>
  </si>
  <si>
    <t>Tennis Travel Meals</t>
  </si>
  <si>
    <t>Headsets w/microphone</t>
  </si>
  <si>
    <t>BIG BEND READ</t>
  </si>
  <si>
    <t>Reading Program Project Mgmt</t>
  </si>
  <si>
    <t>Big Lake Tennis Association</t>
  </si>
  <si>
    <t>Meals/2/15 Reagan County</t>
  </si>
  <si>
    <t>Fort Stockton BOOSTER CLUB</t>
  </si>
  <si>
    <t>HS Track Travel Meals</t>
  </si>
  <si>
    <t>FORT STOCKTON ISD</t>
  </si>
  <si>
    <t>Comanche Relays Entry Fee</t>
  </si>
  <si>
    <t>Chicken Feed, Bedding</t>
  </si>
  <si>
    <t>Membership Service</t>
  </si>
  <si>
    <t>Varsity BB Meals @ Sanderson</t>
  </si>
  <si>
    <t>Staff Laptops</t>
  </si>
  <si>
    <t>PN/RFP/MES Bathrooms Renov</t>
  </si>
  <si>
    <t>COMSTOCK ISD</t>
  </si>
  <si>
    <t>JH Track Travel Meals</t>
  </si>
  <si>
    <t>Board Name Tags</t>
  </si>
  <si>
    <t>Board Appreciation Plaques</t>
  </si>
  <si>
    <t>State Inspection Sm Buis</t>
  </si>
  <si>
    <t>Sci Lab Materials</t>
  </si>
  <si>
    <t>HS Tennis Travel Meals</t>
  </si>
  <si>
    <t>Reg 18 Training - Gass</t>
  </si>
  <si>
    <t>Travel to El Paso ECHS Conf</t>
  </si>
  <si>
    <t>EC UT College Trip Hotel Stay</t>
  </si>
  <si>
    <t>EC -UT College Trip Meals</t>
  </si>
  <si>
    <t>NHS</t>
  </si>
  <si>
    <t>HS TENNIS MEALS</t>
  </si>
  <si>
    <t xml:space="preserve">TASBO CONFERENCE/CERT </t>
  </si>
  <si>
    <t>Purchase Power</t>
  </si>
  <si>
    <t>File Folder Pockets - Jarrell</t>
  </si>
  <si>
    <t>DYMO Label Maker</t>
  </si>
  <si>
    <t>New School Board Orientation</t>
  </si>
  <si>
    <t>VICTORIA SANCHEZ</t>
  </si>
  <si>
    <t>TASBO CONF/MEALS</t>
  </si>
  <si>
    <t>HS Tennis Travel -Alpine</t>
  </si>
  <si>
    <t>Membership Renewal 2018-19</t>
  </si>
  <si>
    <t>MS Track Travel Meals</t>
  </si>
  <si>
    <t>HS/JH Track Enry Fees</t>
  </si>
  <si>
    <t>WTG FUELS</t>
  </si>
  <si>
    <t>Propane</t>
  </si>
  <si>
    <t>ARES Sportwear</t>
  </si>
  <si>
    <t>Track Gear</t>
  </si>
  <si>
    <t>DIANA A CHAVEZ</t>
  </si>
  <si>
    <t>Math Instruction/ Remediation</t>
  </si>
  <si>
    <t>Technology Supplies/Chargers</t>
  </si>
  <si>
    <t>Dish Network, L.L.C.</t>
  </si>
  <si>
    <t>HS Tennis Tourn entry fee</t>
  </si>
  <si>
    <t>5- Military Flags</t>
  </si>
  <si>
    <t>Midland College Banner</t>
  </si>
  <si>
    <t>Odessa College Bookstore-Flag</t>
  </si>
  <si>
    <t xml:space="preserve">Admin STAAR Trng </t>
  </si>
  <si>
    <t>Wix Website Posting</t>
  </si>
  <si>
    <t>McDonalds's - Alpine, TX</t>
  </si>
  <si>
    <t>HS Track Travel Van Horn</t>
  </si>
  <si>
    <t>Materials</t>
  </si>
  <si>
    <t xml:space="preserve">CARTRIDGES, CLASS </t>
  </si>
  <si>
    <t>Erate</t>
  </si>
  <si>
    <t>School Outdoor Bulletin Board</t>
  </si>
  <si>
    <t>ST. JUDE</t>
  </si>
  <si>
    <t>Bike-A-Thon/March 8, 2019</t>
  </si>
  <si>
    <t>TEXAS EDUCATION AGENCY-</t>
  </si>
  <si>
    <t>TVSN Fall Sem Alg-2a</t>
  </si>
  <si>
    <t>MES Re-Painting</t>
  </si>
  <si>
    <t>Van Horn High School</t>
  </si>
  <si>
    <t>Book Fair/Cash Box/M. Barlow</t>
  </si>
  <si>
    <t xml:space="preserve">40 Avid Ed AE42 Green </t>
  </si>
  <si>
    <t xml:space="preserve">Avid Education </t>
  </si>
  <si>
    <t>Big Bend Concrete</t>
  </si>
  <si>
    <t>5 yards of Sand - Track</t>
  </si>
  <si>
    <t>Follett School Solutions, Inc</t>
  </si>
  <si>
    <t>Library Books</t>
  </si>
  <si>
    <t>Jean's Restaurant Supply</t>
  </si>
  <si>
    <t>Ice Maker</t>
  </si>
  <si>
    <t>JOSTENS INC</t>
  </si>
  <si>
    <t>New Signature Cut Diplomas</t>
  </si>
  <si>
    <t xml:space="preserve">Milk/Cookies CommRead </t>
  </si>
  <si>
    <t>Wix Calendar App</t>
  </si>
  <si>
    <t>Greenhouse Materials</t>
  </si>
  <si>
    <t>Maint Supp March</t>
  </si>
  <si>
    <t>PRINTCO</t>
  </si>
  <si>
    <t>School Envelopes Reg/Window</t>
  </si>
  <si>
    <t>TI Calculators/Teacher Set</t>
  </si>
  <si>
    <t>STAAR Tests Snacks/Water</t>
  </si>
  <si>
    <t>Supt Office Folders,Colorpaper</t>
  </si>
  <si>
    <t>HS UIL Academic Meet Meals</t>
  </si>
  <si>
    <t>Math Workshop Fee</t>
  </si>
  <si>
    <t>Install New Ice Machine</t>
  </si>
  <si>
    <t xml:space="preserve">Terlingua Common School </t>
  </si>
  <si>
    <t>MS Track Travel Meals -3/21</t>
  </si>
  <si>
    <t>Texas State University</t>
  </si>
  <si>
    <t>PFIA/Investment Training</t>
  </si>
  <si>
    <t>Elem Library Prep-Paint Wall</t>
  </si>
  <si>
    <t>10 Dual Credit Courses</t>
  </si>
  <si>
    <t xml:space="preserve">Walsh Gallegos Trevino Russo </t>
  </si>
  <si>
    <t>Wolf's Dairy Queens #2</t>
  </si>
  <si>
    <t xml:space="preserve">MS BB MEALS/12/6-8 </t>
  </si>
  <si>
    <t>Athletics Track Gear</t>
  </si>
  <si>
    <t>EC Explore UT College Trip</t>
  </si>
  <si>
    <t>UTPB ECHS Visit Travel Meals</t>
  </si>
  <si>
    <t>UTPB Sr Transcripts</t>
  </si>
  <si>
    <t xml:space="preserve">SECONDARY LIBRARY </t>
  </si>
  <si>
    <t>Storage Tubs - STAAR Test</t>
  </si>
  <si>
    <t>UIL Acad Reg San Angelo Hotel</t>
  </si>
  <si>
    <t>UIL Acad Reg San Angelo Meals</t>
  </si>
  <si>
    <t>MEALS/TRACK/ALPINE</t>
  </si>
  <si>
    <t>Tennis Reg 4/16-18 Lodging SA</t>
  </si>
  <si>
    <t>State Hist Assoc Student Fees</t>
  </si>
  <si>
    <t>DeWalt 10" Table Saw</t>
  </si>
  <si>
    <t>Garden Tiller Rental Greenhose</t>
  </si>
  <si>
    <t xml:space="preserve">MORRISON SUPPLY </t>
  </si>
  <si>
    <t>WATER FOUNTAIN</t>
  </si>
  <si>
    <t>Staff Dev-Writing Across Curr</t>
  </si>
  <si>
    <t>Payroll Training/Manual/Regula</t>
  </si>
  <si>
    <t>Membership Fee</t>
  </si>
  <si>
    <t>2019 Sr Diplomas</t>
  </si>
  <si>
    <t>History Fair/San Angelo</t>
  </si>
  <si>
    <t>State Hist Fair Lodging Austin</t>
  </si>
  <si>
    <t>State Hist Fair Travel Meals</t>
  </si>
  <si>
    <t>HS Track Meals 4/16/2019</t>
  </si>
  <si>
    <t>HS Track Reg Lodging 4/25-26</t>
  </si>
  <si>
    <t>HS Track Reg Travel Meals</t>
  </si>
  <si>
    <t xml:space="preserve">Tennis Reg4/16-18 Meals </t>
  </si>
  <si>
    <t>Postage</t>
  </si>
  <si>
    <t>READ TO THEM</t>
  </si>
  <si>
    <t>Elementary Reading</t>
  </si>
  <si>
    <t>HS Dist Track Mt -4/4/19</t>
  </si>
  <si>
    <t>HS Tennis Mt Travel</t>
  </si>
  <si>
    <t>JH Tennis Tourn Travel</t>
  </si>
  <si>
    <t>Carolina Biological Supply Co</t>
  </si>
  <si>
    <t>Elem Sci Aquarium Tank/Sup</t>
  </si>
  <si>
    <t>Student Dell Laptops</t>
  </si>
  <si>
    <t>Welding gasses, argon, Co2, O2</t>
  </si>
  <si>
    <t>oxygen/acet torch hoses</t>
  </si>
  <si>
    <t>Torch/Regulator Repairs</t>
  </si>
  <si>
    <t>HS Regional Track 4/25-26</t>
  </si>
  <si>
    <t>UIL Acad Reg San Angelo</t>
  </si>
  <si>
    <t>State Hist Fair Travel Austin</t>
  </si>
  <si>
    <t>SLI Training SA Lodging</t>
  </si>
  <si>
    <t>Fax Machine/ Ink Cartridges</t>
  </si>
  <si>
    <t>Writing Charts</t>
  </si>
  <si>
    <t>Cross Co Entry Fee - Rankin</t>
  </si>
  <si>
    <t>Alg I EOC Math Workshop Fee</t>
  </si>
  <si>
    <t>ABC Fire Systems, LLC</t>
  </si>
  <si>
    <t>Fire Alarm Inspection/Sv 8/18</t>
  </si>
  <si>
    <t>TASB Staffing Wkshp Fee</t>
  </si>
  <si>
    <t>Sports Banquet - Plaques</t>
  </si>
  <si>
    <t>BEN E KEITH DFW</t>
  </si>
  <si>
    <t>Athletic Banquet Meal Supp</t>
  </si>
  <si>
    <t>MS Office 365 Renewal</t>
  </si>
  <si>
    <t>CP SUPPORT, LLC</t>
  </si>
  <si>
    <t>AED Support Services</t>
  </si>
  <si>
    <t>DEMCO</t>
  </si>
  <si>
    <t>Library Supplies</t>
  </si>
  <si>
    <t xml:space="preserve">ERNESTO'S SERVICE </t>
  </si>
  <si>
    <t>Expedition Tire Repair</t>
  </si>
  <si>
    <t>Exerplay, Inc</t>
  </si>
  <si>
    <t>Swing Replacement Parts</t>
  </si>
  <si>
    <t>Student Health Services</t>
  </si>
  <si>
    <t>Barnes/Noble AR Books</t>
  </si>
  <si>
    <t>Elem/6th  Fort Davis Library</t>
  </si>
  <si>
    <t>Elem AR trip to Ft Davis</t>
  </si>
  <si>
    <t>MS AR Field Trip to Midland</t>
  </si>
  <si>
    <t>Sport Banquet Meal Supplies</t>
  </si>
  <si>
    <t>Teacher Appr Meals Supplies</t>
  </si>
  <si>
    <t>Facility materials Lowe's</t>
  </si>
  <si>
    <t>Maint Supplies - April</t>
  </si>
  <si>
    <t>Front Align/Tire Steering Axle</t>
  </si>
  <si>
    <t>Math Calculator Use</t>
  </si>
  <si>
    <t xml:space="preserve">SCHOLASTIC BOOK FAIRS - </t>
  </si>
  <si>
    <t>SCHOLASTIC BOOK FAIR</t>
  </si>
  <si>
    <t>Expedition OIl Change</t>
  </si>
  <si>
    <t>Online Courses</t>
  </si>
  <si>
    <t>Paper for graduation programs</t>
  </si>
  <si>
    <t>EOY School Party MS/HS</t>
  </si>
  <si>
    <t>STOP!T</t>
  </si>
  <si>
    <t>STOPit Renewal Licenses K-12</t>
  </si>
  <si>
    <t>WINK-LOVING I.S.D.</t>
  </si>
  <si>
    <t>Area Track Mt 4/16 Meals</t>
  </si>
  <si>
    <t>ECHS College Fair Career</t>
  </si>
  <si>
    <t>VOIP/Internet Services</t>
  </si>
  <si>
    <t>FUEL/AR/MIDLAND</t>
  </si>
  <si>
    <t>ECHS Tours</t>
  </si>
  <si>
    <t>Cartridges, materials, cabinet</t>
  </si>
  <si>
    <t>GUADALUPE SINGH</t>
  </si>
  <si>
    <t>Reimb for Grad Sup</t>
  </si>
  <si>
    <t>SLI Board Training</t>
  </si>
  <si>
    <t>Hail Storm Window Boarding</t>
  </si>
  <si>
    <t>Repairs - Kitchen, Supt Office</t>
  </si>
  <si>
    <t>Meal Reimb/Wink/Furniture</t>
  </si>
  <si>
    <t>May - Maint Supplies</t>
  </si>
  <si>
    <t>Flat tire repair school traile</t>
  </si>
  <si>
    <t xml:space="preserve">SUL ROSS STATE </t>
  </si>
  <si>
    <t>TASB Spring Workshop - SRSU</t>
  </si>
  <si>
    <t>TASB Spring Wkshp Alpine</t>
  </si>
  <si>
    <t>TXTAG</t>
  </si>
  <si>
    <t>Toll charges/history fair</t>
  </si>
  <si>
    <t>GRACIE GALINDO</t>
  </si>
  <si>
    <t>CK REISSUE/#30151</t>
  </si>
  <si>
    <t>SLI lodging SA, park,ing fees</t>
  </si>
  <si>
    <t>Fire Alarm Inspection</t>
  </si>
  <si>
    <t>Judy Briones</t>
  </si>
  <si>
    <t>CK/30899/JB/SLI/17-18</t>
  </si>
  <si>
    <t>CHEYENNE MARTA</t>
  </si>
  <si>
    <t>FUEL/SLI/BOARD</t>
  </si>
  <si>
    <t>College Readiness Banners</t>
  </si>
  <si>
    <t>MONICA PINEDO</t>
  </si>
  <si>
    <t>Reg18 ELAR wkshp meals 7/11,</t>
  </si>
  <si>
    <t>Monthly Supplies June</t>
  </si>
  <si>
    <t>FOLLETT Educational Services</t>
  </si>
  <si>
    <t>Books for Big Bend Elem</t>
  </si>
  <si>
    <t>Roberto Hernandez</t>
  </si>
  <si>
    <t>Boarded Windows -Hail Storm</t>
  </si>
  <si>
    <t>IN &amp; OUT RENTAL INC.</t>
  </si>
  <si>
    <t>STHL 2 cycle oil, gas can</t>
  </si>
  <si>
    <t>SLI training SA meal</t>
  </si>
  <si>
    <t>SLI travel meals SA</t>
  </si>
  <si>
    <t>SLI training SA meals C Marta</t>
  </si>
  <si>
    <t>DISH SERVICE</t>
  </si>
  <si>
    <t>District Garden Fence Supplies</t>
  </si>
  <si>
    <t>Maint Supplies - June</t>
  </si>
  <si>
    <t>OASIS CAFE</t>
  </si>
  <si>
    <t>Staff Devel Brekfst  5/24 (15)</t>
  </si>
  <si>
    <t>College Summer School Tuition</t>
  </si>
  <si>
    <t>Quality Hardwood Floors, Inc.</t>
  </si>
  <si>
    <t>Gym Floor buff/ oil base coat</t>
  </si>
  <si>
    <t>ELAR Wkshp Fee June 11-12</t>
  </si>
  <si>
    <t>Bus Driver Training Courses</t>
  </si>
  <si>
    <t>Region 18 TASA Supt Expenses</t>
  </si>
  <si>
    <t>KELLY SPRINGFIELD</t>
  </si>
  <si>
    <t>P-16 Conference Austin Meals</t>
  </si>
  <si>
    <t>SLI training SA meals H West</t>
  </si>
  <si>
    <t>GT Prof Dev 8/18 Instr Curri</t>
  </si>
  <si>
    <t>GT Adv Voc Staff Devel 8/14</t>
  </si>
  <si>
    <t>Stockton Glass and Mirror</t>
  </si>
  <si>
    <t>New Windows for Supt House</t>
  </si>
  <si>
    <t>AA Chemical &amp; Supply</t>
  </si>
  <si>
    <t>Floor Seal</t>
  </si>
  <si>
    <t xml:space="preserve">LIBRARY BOOKS/READ </t>
  </si>
  <si>
    <t>FUEL/P-16 CONF AUSTIN</t>
  </si>
  <si>
    <t>ECHS Conf Plano, Tx</t>
  </si>
  <si>
    <t>SLI training SA</t>
  </si>
  <si>
    <t>SLI training travel SA C Marta</t>
  </si>
  <si>
    <t>SLI training travel SA Judy B</t>
  </si>
  <si>
    <t>Fuel/R.18 Summary of Finance</t>
  </si>
  <si>
    <t>Pauline G Hernandez</t>
  </si>
  <si>
    <t>Staff Dev Reg 19, El Paso Meal</t>
  </si>
  <si>
    <t>Houghton Mifflin Harcourt</t>
  </si>
  <si>
    <t>7th Grd Go Math Workbooks</t>
  </si>
  <si>
    <t>JASMINE RIVERA</t>
  </si>
  <si>
    <t xml:space="preserve">RE-ISSUE/FINGERPRINT FEE </t>
  </si>
  <si>
    <t>Kelly Springfield</t>
  </si>
  <si>
    <t>ECHS Conf Plano, TX Meals</t>
  </si>
  <si>
    <t>Wesly Don Martin</t>
  </si>
  <si>
    <t>Fire Alarm Pull Station replac</t>
  </si>
  <si>
    <t>Maint Supplies - July</t>
  </si>
  <si>
    <t>Monica Pinedo</t>
  </si>
  <si>
    <t>Math Acd Reg 18 7/16-18</t>
  </si>
  <si>
    <t>Texas Education Agency - MSC</t>
  </si>
  <si>
    <t>IDEA B -Formula MOE 2017-</t>
  </si>
  <si>
    <t>College Summer School</t>
  </si>
  <si>
    <t xml:space="preserve">Fuel/Academcy/Tchr Young </t>
  </si>
  <si>
    <t>TEKS Conf SA Lodging/Parking</t>
  </si>
  <si>
    <t>TEKS Conf in SA Lodging/Parkin</t>
  </si>
  <si>
    <t>ELAR Workshop -A Hunt 7/18</t>
  </si>
  <si>
    <t>CRAFT TRAINING CENTER</t>
  </si>
  <si>
    <t>NCCER Audit</t>
  </si>
  <si>
    <t>Expedition oil change</t>
  </si>
  <si>
    <t>Cartridges, supplies</t>
  </si>
  <si>
    <t>Cork Bulletin Board</t>
  </si>
  <si>
    <t>2005 Chevy Van Vehicle Registr</t>
  </si>
  <si>
    <t>JRP ELECTRIC</t>
  </si>
  <si>
    <t>Electrical Campus Needs</t>
  </si>
  <si>
    <t>DOUGLAS KARR, ED.D.</t>
  </si>
  <si>
    <t>Services/Leve II/School Financ</t>
  </si>
  <si>
    <t>Staff Dev - Aug 2019 refreshmt</t>
  </si>
  <si>
    <t>Google G Suite</t>
  </si>
  <si>
    <t>Maint Supplies - August</t>
  </si>
  <si>
    <t>SASDA workshop fee</t>
  </si>
  <si>
    <t>ClassroomSupplies</t>
  </si>
  <si>
    <t>Staff Luncheon</t>
  </si>
  <si>
    <t>Battery Replacement Expedition</t>
  </si>
  <si>
    <t>Assit with playground equipmt</t>
  </si>
  <si>
    <t>Maint Supplies- August</t>
  </si>
  <si>
    <t xml:space="preserve">MJSH ENTRY 14 </t>
  </si>
  <si>
    <t>Water Fountain Maint.</t>
  </si>
  <si>
    <t>hand2mind</t>
  </si>
  <si>
    <t>Reading Rods</t>
  </si>
  <si>
    <t>College Algebra/American Gov</t>
  </si>
  <si>
    <t>SPECIAL ED MATERIALS</t>
  </si>
  <si>
    <t>NASCO</t>
  </si>
  <si>
    <t>STEM Math/Educate Tx Grant</t>
  </si>
  <si>
    <t>Region 18 SASDA workshop fee</t>
  </si>
  <si>
    <t>Weatherstrip for HS doors</t>
  </si>
  <si>
    <t>CC travel meals 8/29</t>
  </si>
  <si>
    <t>NXT BOARD</t>
  </si>
  <si>
    <t>LoneStar Govern Workshop</t>
  </si>
  <si>
    <t>Public Notice/Budget/Tax Rate</t>
  </si>
  <si>
    <t>DELTA EDUCATION</t>
  </si>
  <si>
    <t xml:space="preserve">STEM FOSS Kit/Educate Tx </t>
  </si>
  <si>
    <t xml:space="preserve">GRAINGER, FORTH WORTH </t>
  </si>
  <si>
    <t>Door Sweeps for HS Doors</t>
  </si>
  <si>
    <t xml:space="preserve">STEM Supplies/Educate Tx </t>
  </si>
  <si>
    <t xml:space="preserve">STEM Sci Sup/ Educate Tx </t>
  </si>
  <si>
    <t>AC not working HS - RM 6</t>
  </si>
  <si>
    <t>Accelerate Learning Inc.</t>
  </si>
  <si>
    <t xml:space="preserve">STEM PreK online /Educate Tx </t>
  </si>
  <si>
    <t>QRTRLY PAYMENT</t>
  </si>
  <si>
    <t>Quarterly Payment</t>
  </si>
  <si>
    <t xml:space="preserve">QUARTERLY PAYMENT/1ST </t>
  </si>
  <si>
    <t xml:space="preserve">INTERNAL REVENUE </t>
  </si>
  <si>
    <t>PAYROLL/2ND QTR</t>
  </si>
  <si>
    <t>UC PAYMENT</t>
  </si>
  <si>
    <t>TEKS Conf SA travel meals</t>
  </si>
  <si>
    <t>TEKS Res Conf -SA Travel</t>
  </si>
  <si>
    <t>TEKS Conf SA -Marriott RiverCt</t>
  </si>
  <si>
    <t>TEKS Conf  SA Regist Fee</t>
  </si>
  <si>
    <t>Math Hourly Data Coaching</t>
  </si>
  <si>
    <t>TEKS Conf SA Travel Larson</t>
  </si>
  <si>
    <t>Jessica Larson</t>
  </si>
  <si>
    <t>PO Created by Req: 062840</t>
  </si>
  <si>
    <t>PO Created by Req: 062841</t>
  </si>
  <si>
    <t xml:space="preserve">TEKS Conf SA Regist Fee </t>
  </si>
  <si>
    <t>Staff Devel Writing Across Cur</t>
  </si>
  <si>
    <t>Sci/Literacy Learning Event</t>
  </si>
  <si>
    <t>Math Support Training</t>
  </si>
  <si>
    <t>Staff Devel J Larson Soc Std</t>
  </si>
  <si>
    <t xml:space="preserve">Fuel/TEKS Resource </t>
  </si>
  <si>
    <t xml:space="preserve">Homecoming </t>
  </si>
  <si>
    <t>Homecoming Dance -Pizza</t>
  </si>
  <si>
    <t>Fan Cloth Products LLC</t>
  </si>
  <si>
    <t>Fundrasier</t>
  </si>
  <si>
    <t>ECHS College Tours</t>
  </si>
  <si>
    <t>Marathon ISD 2019-2020 Check Register
District Issued and EFT Payments</t>
  </si>
  <si>
    <t>Fund 101 - Child Nutrition/School Breakfast Program</t>
  </si>
  <si>
    <t>Date</t>
  </si>
  <si>
    <t>Check No.</t>
  </si>
  <si>
    <t>Payee</t>
  </si>
  <si>
    <t xml:space="preserve">Amount </t>
  </si>
  <si>
    <t>Purpose</t>
  </si>
  <si>
    <t>Fund 198 - Special Projects - Committed Fund Balance</t>
  </si>
  <si>
    <t>Fund 199 - General Fund Maintenance &amp; Operations</t>
  </si>
  <si>
    <t>August Total Amount</t>
  </si>
  <si>
    <t>September Total Amount</t>
  </si>
  <si>
    <t>October Total Amount</t>
  </si>
  <si>
    <t>November Total Amount</t>
  </si>
  <si>
    <t>DecemberTotal Amount</t>
  </si>
  <si>
    <t>January Total Amount</t>
  </si>
  <si>
    <t>February Total Amount</t>
  </si>
  <si>
    <t>March Total Amount</t>
  </si>
  <si>
    <t>July Total Amount</t>
  </si>
  <si>
    <t>June Total Amount</t>
  </si>
  <si>
    <t>May Total Amount</t>
  </si>
  <si>
    <t>April Total Amount</t>
  </si>
  <si>
    <t>Delivery Fee</t>
  </si>
  <si>
    <t>Food Items</t>
  </si>
  <si>
    <t>Non-Food Items</t>
  </si>
  <si>
    <t xml:space="preserve"> </t>
  </si>
  <si>
    <t>Water Heater Replaced/Kitchen</t>
  </si>
  <si>
    <t>Total Annual Disbursements</t>
  </si>
  <si>
    <t>December Total Amount</t>
  </si>
  <si>
    <t>Participation Fees</t>
  </si>
  <si>
    <t>Monthly Service</t>
  </si>
  <si>
    <t>EFT/ACH Total Amount</t>
  </si>
  <si>
    <t>Fund 255 - Title II, Part A - Supporting Effective Instruction</t>
  </si>
  <si>
    <t>Fund 289 - Title IV, Part A - Subpart 1</t>
  </si>
  <si>
    <t>Fund 461 - Campus Activity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</si>
</sst>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44" fontId="0" fillId="0" borderId="0" xfId="42" applyFont="1"/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44" fontId="0" fillId="0" borderId="10" xfId="42" applyFont="1" applyBorder="1"/>
    <xf numFmtId="0" fontId="0" fillId="0" borderId="15" xfId="0" applyBorder="1"/>
    <xf numFmtId="44" fontId="0" fillId="0" borderId="15" xfId="42" applyFont="1" applyBorder="1"/>
    <xf numFmtId="0" fontId="16" fillId="0" borderId="10" xfId="0" applyFont="1" applyBorder="1"/>
    <xf numFmtId="44" fontId="16" fillId="0" borderId="10" xfId="42" applyNumberFormat="1" applyFont="1" applyBorder="1"/>
    <xf numFmtId="0" fontId="16" fillId="0" borderId="14" xfId="0" applyFont="1" applyBorder="1"/>
    <xf numFmtId="44" fontId="16" fillId="0" borderId="14" xfId="42" applyNumberFormat="1" applyFont="1" applyBorder="1"/>
    <xf numFmtId="44" fontId="16" fillId="0" borderId="0" xfId="42" applyNumberFormat="1" applyFont="1"/>
    <xf numFmtId="0" fontId="16" fillId="0" borderId="16" xfId="0" applyFont="1" applyBorder="1"/>
    <xf numFmtId="44" fontId="16" fillId="0" borderId="16" xfId="42" applyNumberFormat="1" applyFont="1" applyBorder="1"/>
    <xf numFmtId="0" fontId="16" fillId="0" borderId="15" xfId="0" applyFont="1" applyBorder="1"/>
    <xf numFmtId="0" fontId="16" fillId="33" borderId="10" xfId="0" applyFont="1" applyFill="1" applyBorder="1" applyAlignment="1">
      <alignment horizontal="left"/>
    </xf>
    <xf numFmtId="0" fontId="0" fillId="33" borderId="10" xfId="0" applyFill="1" applyBorder="1"/>
    <xf numFmtId="44" fontId="16" fillId="0" borderId="10" xfId="42" applyFont="1" applyBorder="1"/>
    <xf numFmtId="44" fontId="16" fillId="0" borderId="15" xfId="42" applyFont="1" applyBorder="1"/>
    <xf numFmtId="44" fontId="16" fillId="0" borderId="16" xfId="42" applyFont="1" applyBorder="1"/>
    <xf numFmtId="0" fontId="16" fillId="0" borderId="0" xfId="0" applyFont="1" applyBorder="1"/>
    <xf numFmtId="44" fontId="16" fillId="0" borderId="0" xfId="42" applyFont="1" applyBorder="1"/>
    <xf numFmtId="0" fontId="16" fillId="33" borderId="10" xfId="0" applyFont="1" applyFill="1" applyBorder="1"/>
    <xf numFmtId="44" fontId="16" fillId="33" borderId="10" xfId="42" applyNumberFormat="1" applyFont="1" applyFill="1" applyBorder="1"/>
    <xf numFmtId="0" fontId="16" fillId="33" borderId="0" xfId="0" applyFont="1" applyFill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79AD-E53A-41AA-A039-D9615E5230F3}">
  <dimension ref="A1:H1081"/>
  <sheetViews>
    <sheetView tabSelected="1" topLeftCell="A1012" zoomScale="130" zoomScaleNormal="130" workbookViewId="0">
      <selection activeCell="L12" sqref="L12"/>
    </sheetView>
  </sheetViews>
  <sheetFormatPr defaultRowHeight="15" x14ac:dyDescent="0.25"/>
  <cols>
    <col min="1" max="1" width="9.5703125" customWidth="1"/>
    <col min="2" max="2" width="9.85546875" customWidth="1"/>
    <col min="3" max="3" width="26.5703125" customWidth="1"/>
    <col min="4" max="4" width="14" customWidth="1"/>
    <col min="5" max="5" width="40.85546875" customWidth="1"/>
  </cols>
  <sheetData>
    <row r="1" spans="1:5" ht="42.75" customHeight="1" thickBot="1" x14ac:dyDescent="0.35">
      <c r="A1" s="29" t="s">
        <v>736</v>
      </c>
      <c r="B1" s="30"/>
      <c r="C1" s="30"/>
      <c r="D1" s="30"/>
      <c r="E1" s="31"/>
    </row>
    <row r="2" spans="1:5" x14ac:dyDescent="0.25">
      <c r="A2" s="28" t="s">
        <v>737</v>
      </c>
      <c r="B2" s="28"/>
      <c r="C2" s="28"/>
      <c r="D2" s="28"/>
      <c r="E2" s="28"/>
    </row>
    <row r="3" spans="1:5" x14ac:dyDescent="0.25">
      <c r="A3" s="4" t="s">
        <v>738</v>
      </c>
      <c r="B3" s="4" t="s">
        <v>739</v>
      </c>
      <c r="C3" s="4" t="s">
        <v>740</v>
      </c>
      <c r="D3" s="4" t="s">
        <v>741</v>
      </c>
      <c r="E3" s="4" t="s">
        <v>742</v>
      </c>
    </row>
    <row r="4" spans="1:5" x14ac:dyDescent="0.25">
      <c r="A4" s="6">
        <v>20180910</v>
      </c>
      <c r="B4" s="7" t="str">
        <f>"030383"</f>
        <v>030383</v>
      </c>
      <c r="C4" s="7" t="s">
        <v>0</v>
      </c>
      <c r="D4" s="8">
        <v>388.29</v>
      </c>
      <c r="E4" s="7" t="s">
        <v>758</v>
      </c>
    </row>
    <row r="5" spans="1:5" x14ac:dyDescent="0.25">
      <c r="A5" s="6">
        <v>20180925</v>
      </c>
      <c r="B5" s="7" t="str">
        <f>"030413"</f>
        <v>030413</v>
      </c>
      <c r="C5" s="7" t="s">
        <v>0</v>
      </c>
      <c r="D5" s="8">
        <v>107.4</v>
      </c>
      <c r="E5" s="7" t="s">
        <v>758</v>
      </c>
    </row>
    <row r="6" spans="1:5" x14ac:dyDescent="0.25">
      <c r="A6" s="6">
        <v>20180925</v>
      </c>
      <c r="B6" s="7" t="str">
        <f>"030413"</f>
        <v>030413</v>
      </c>
      <c r="C6" s="7" t="s">
        <v>0</v>
      </c>
      <c r="D6" s="8">
        <v>267.55</v>
      </c>
      <c r="E6" s="7" t="s">
        <v>758</v>
      </c>
    </row>
    <row r="7" spans="1:5" x14ac:dyDescent="0.25">
      <c r="A7" s="6">
        <v>20180925</v>
      </c>
      <c r="B7" s="7" t="str">
        <f>"030413"</f>
        <v>030413</v>
      </c>
      <c r="C7" s="7" t="s">
        <v>0</v>
      </c>
      <c r="D7" s="8">
        <v>113.28</v>
      </c>
      <c r="E7" s="7" t="s">
        <v>758</v>
      </c>
    </row>
    <row r="8" spans="1:5" x14ac:dyDescent="0.25">
      <c r="A8" s="6">
        <v>20180925</v>
      </c>
      <c r="B8" s="7" t="str">
        <f>"030413"</f>
        <v>030413</v>
      </c>
      <c r="C8" s="7" t="s">
        <v>0</v>
      </c>
      <c r="D8" s="8">
        <v>87.22</v>
      </c>
      <c r="E8" s="7" t="s">
        <v>759</v>
      </c>
    </row>
    <row r="9" spans="1:5" x14ac:dyDescent="0.25">
      <c r="A9" s="2"/>
      <c r="C9" s="11" t="s">
        <v>746</v>
      </c>
      <c r="D9" s="12">
        <f>SUM(D4:D8)</f>
        <v>963.74</v>
      </c>
    </row>
    <row r="10" spans="1:5" x14ac:dyDescent="0.25">
      <c r="A10" s="6">
        <v>20181015</v>
      </c>
      <c r="B10" s="7" t="str">
        <f>"030449"</f>
        <v>030449</v>
      </c>
      <c r="C10" s="9" t="s">
        <v>0</v>
      </c>
      <c r="D10" s="10">
        <v>175.38</v>
      </c>
      <c r="E10" s="7" t="s">
        <v>758</v>
      </c>
    </row>
    <row r="11" spans="1:5" x14ac:dyDescent="0.25">
      <c r="A11" s="6">
        <v>20181015</v>
      </c>
      <c r="B11" s="7" t="str">
        <f>"030449"</f>
        <v>030449</v>
      </c>
      <c r="C11" s="7" t="s">
        <v>0</v>
      </c>
      <c r="D11" s="8">
        <v>184.26</v>
      </c>
      <c r="E11" s="7" t="s">
        <v>758</v>
      </c>
    </row>
    <row r="12" spans="1:5" x14ac:dyDescent="0.25">
      <c r="A12" s="6">
        <v>20181024</v>
      </c>
      <c r="B12" s="7" t="str">
        <f>"030475"</f>
        <v>030475</v>
      </c>
      <c r="C12" s="7" t="s">
        <v>0</v>
      </c>
      <c r="D12" s="8">
        <v>195.08</v>
      </c>
      <c r="E12" s="7" t="s">
        <v>758</v>
      </c>
    </row>
    <row r="13" spans="1:5" x14ac:dyDescent="0.25">
      <c r="A13" s="6">
        <v>20181024</v>
      </c>
      <c r="B13" s="7" t="str">
        <f>"030475"</f>
        <v>030475</v>
      </c>
      <c r="C13" s="7" t="s">
        <v>0</v>
      </c>
      <c r="D13" s="8">
        <v>10.67</v>
      </c>
      <c r="E13" s="7" t="s">
        <v>759</v>
      </c>
    </row>
    <row r="14" spans="1:5" x14ac:dyDescent="0.25">
      <c r="A14" s="2"/>
      <c r="C14" s="11" t="s">
        <v>747</v>
      </c>
      <c r="D14" s="12">
        <f>SUM(D10:D13)</f>
        <v>565.39</v>
      </c>
    </row>
    <row r="15" spans="1:5" x14ac:dyDescent="0.25">
      <c r="A15" s="6">
        <v>20181108</v>
      </c>
      <c r="B15" s="7" t="str">
        <f>"030496"</f>
        <v>030496</v>
      </c>
      <c r="C15" s="9" t="s">
        <v>0</v>
      </c>
      <c r="D15" s="10">
        <v>134.36000000000001</v>
      </c>
      <c r="E15" s="7" t="s">
        <v>758</v>
      </c>
    </row>
    <row r="16" spans="1:5" x14ac:dyDescent="0.25">
      <c r="A16" s="6">
        <v>20181108</v>
      </c>
      <c r="B16" s="7" t="str">
        <f>"030496"</f>
        <v>030496</v>
      </c>
      <c r="C16" s="7" t="s">
        <v>0</v>
      </c>
      <c r="D16" s="8">
        <v>255.49</v>
      </c>
      <c r="E16" s="7" t="s">
        <v>758</v>
      </c>
    </row>
    <row r="17" spans="1:5" x14ac:dyDescent="0.25">
      <c r="A17" s="6">
        <v>20181108</v>
      </c>
      <c r="B17" s="7" t="str">
        <f>"030496"</f>
        <v>030496</v>
      </c>
      <c r="C17" s="7" t="s">
        <v>0</v>
      </c>
      <c r="D17" s="8">
        <v>354.32</v>
      </c>
      <c r="E17" s="7" t="s">
        <v>758</v>
      </c>
    </row>
    <row r="18" spans="1:5" x14ac:dyDescent="0.25">
      <c r="A18" s="6">
        <v>20181128</v>
      </c>
      <c r="B18" s="7" t="str">
        <f>"030526"</f>
        <v>030526</v>
      </c>
      <c r="C18" s="7" t="s">
        <v>0</v>
      </c>
      <c r="D18" s="8">
        <v>89.61</v>
      </c>
      <c r="E18" s="7" t="s">
        <v>758</v>
      </c>
    </row>
    <row r="19" spans="1:5" x14ac:dyDescent="0.25">
      <c r="A19" s="6">
        <v>20181128</v>
      </c>
      <c r="B19" s="7" t="str">
        <f>"030526"</f>
        <v>030526</v>
      </c>
      <c r="C19" s="7" t="s">
        <v>0</v>
      </c>
      <c r="D19" s="8">
        <v>10.67</v>
      </c>
      <c r="E19" s="7" t="s">
        <v>759</v>
      </c>
    </row>
    <row r="20" spans="1:5" x14ac:dyDescent="0.25">
      <c r="A20" s="6">
        <v>20181128</v>
      </c>
      <c r="B20" s="7" t="str">
        <f>"030526"</f>
        <v>030526</v>
      </c>
      <c r="C20" s="7" t="s">
        <v>0</v>
      </c>
      <c r="D20" s="8">
        <v>35</v>
      </c>
      <c r="E20" s="7" t="s">
        <v>757</v>
      </c>
    </row>
    <row r="21" spans="1:5" x14ac:dyDescent="0.25">
      <c r="A21" s="2"/>
      <c r="C21" s="13" t="s">
        <v>748</v>
      </c>
      <c r="D21" s="14">
        <f>SUM(D15:D20)</f>
        <v>879.45</v>
      </c>
    </row>
    <row r="22" spans="1:5" x14ac:dyDescent="0.25">
      <c r="A22" s="6">
        <v>20181205</v>
      </c>
      <c r="B22" s="7" t="str">
        <f>"030537"</f>
        <v>030537</v>
      </c>
      <c r="C22" s="7" t="s">
        <v>0</v>
      </c>
      <c r="D22" s="8">
        <v>332.11</v>
      </c>
      <c r="E22" s="7" t="s">
        <v>758</v>
      </c>
    </row>
    <row r="23" spans="1:5" x14ac:dyDescent="0.25">
      <c r="A23" s="6">
        <v>20181205</v>
      </c>
      <c r="B23" s="7" t="str">
        <f>"030537"</f>
        <v>030537</v>
      </c>
      <c r="C23" s="7" t="s">
        <v>0</v>
      </c>
      <c r="D23" s="8">
        <v>21.34</v>
      </c>
      <c r="E23" s="7" t="s">
        <v>759</v>
      </c>
    </row>
    <row r="24" spans="1:5" x14ac:dyDescent="0.25">
      <c r="A24" s="6">
        <v>20181212</v>
      </c>
      <c r="B24" s="7" t="str">
        <f>"030566"</f>
        <v>030566</v>
      </c>
      <c r="C24" s="7" t="s">
        <v>0</v>
      </c>
      <c r="D24" s="8">
        <v>59.7</v>
      </c>
      <c r="E24" s="7" t="s">
        <v>758</v>
      </c>
    </row>
    <row r="25" spans="1:5" x14ac:dyDescent="0.25">
      <c r="A25" s="6">
        <v>20181212</v>
      </c>
      <c r="B25" s="7" t="str">
        <f>"030566"</f>
        <v>030566</v>
      </c>
      <c r="C25" s="7" t="s">
        <v>0</v>
      </c>
      <c r="D25" s="8">
        <v>35</v>
      </c>
      <c r="E25" s="7" t="s">
        <v>757</v>
      </c>
    </row>
    <row r="26" spans="1:5" x14ac:dyDescent="0.25">
      <c r="A26" s="2"/>
      <c r="C26" s="11" t="s">
        <v>749</v>
      </c>
      <c r="D26" s="12">
        <f>SUM(D22:D25)</f>
        <v>448.15</v>
      </c>
    </row>
    <row r="27" spans="1:5" x14ac:dyDescent="0.25">
      <c r="A27" s="6">
        <v>20190110</v>
      </c>
      <c r="B27" s="7" t="str">
        <f>"030598"</f>
        <v>030598</v>
      </c>
      <c r="C27" s="7" t="s">
        <v>0</v>
      </c>
      <c r="D27" s="8">
        <v>322.17</v>
      </c>
      <c r="E27" s="7" t="s">
        <v>758</v>
      </c>
    </row>
    <row r="28" spans="1:5" x14ac:dyDescent="0.25">
      <c r="A28" s="6">
        <v>20190110</v>
      </c>
      <c r="B28" s="7" t="str">
        <f>"030598"</f>
        <v>030598</v>
      </c>
      <c r="C28" s="7" t="s">
        <v>0</v>
      </c>
      <c r="D28" s="8">
        <v>35.869999999999997</v>
      </c>
      <c r="E28" s="7" t="s">
        <v>759</v>
      </c>
    </row>
    <row r="29" spans="1:5" x14ac:dyDescent="0.25">
      <c r="A29" s="6">
        <v>20190116</v>
      </c>
      <c r="B29" s="7" t="str">
        <f>"030612"</f>
        <v>030612</v>
      </c>
      <c r="C29" s="7" t="s">
        <v>0</v>
      </c>
      <c r="D29" s="8">
        <v>92.05</v>
      </c>
      <c r="E29" s="7" t="s">
        <v>758</v>
      </c>
    </row>
    <row r="30" spans="1:5" x14ac:dyDescent="0.25">
      <c r="A30" s="6">
        <v>20190116</v>
      </c>
      <c r="B30" s="7" t="str">
        <f>"030612"</f>
        <v>030612</v>
      </c>
      <c r="C30" s="7" t="s">
        <v>0</v>
      </c>
      <c r="D30" s="8">
        <v>35</v>
      </c>
      <c r="E30" s="7" t="s">
        <v>757</v>
      </c>
    </row>
    <row r="31" spans="1:5" x14ac:dyDescent="0.25">
      <c r="A31" s="6">
        <v>20190128</v>
      </c>
      <c r="B31" s="7" t="str">
        <f>"030635"</f>
        <v>030635</v>
      </c>
      <c r="C31" s="7" t="s">
        <v>0</v>
      </c>
      <c r="D31" s="8">
        <v>96.02</v>
      </c>
      <c r="E31" s="7" t="s">
        <v>758</v>
      </c>
    </row>
    <row r="32" spans="1:5" x14ac:dyDescent="0.25">
      <c r="A32" s="6">
        <v>20190128</v>
      </c>
      <c r="B32" s="7" t="str">
        <f>"030635"</f>
        <v>030635</v>
      </c>
      <c r="C32" s="7" t="s">
        <v>0</v>
      </c>
      <c r="D32" s="8">
        <v>35</v>
      </c>
      <c r="E32" s="7" t="s">
        <v>757</v>
      </c>
    </row>
    <row r="33" spans="1:7" x14ac:dyDescent="0.25">
      <c r="A33" s="2"/>
      <c r="C33" s="1" t="s">
        <v>750</v>
      </c>
      <c r="D33" s="15">
        <f>SUM(D27:D32)</f>
        <v>616.11</v>
      </c>
    </row>
    <row r="34" spans="1:7" x14ac:dyDescent="0.25">
      <c r="A34" s="6">
        <v>20190222</v>
      </c>
      <c r="B34" s="7" t="str">
        <f t="shared" ref="B34:B41" si="0">"030700"</f>
        <v>030700</v>
      </c>
      <c r="C34" s="7" t="s">
        <v>0</v>
      </c>
      <c r="D34" s="8">
        <v>357.82</v>
      </c>
      <c r="E34" s="7" t="s">
        <v>758</v>
      </c>
    </row>
    <row r="35" spans="1:7" x14ac:dyDescent="0.25">
      <c r="A35" s="6">
        <v>20190222</v>
      </c>
      <c r="B35" s="7" t="str">
        <f t="shared" si="0"/>
        <v>030700</v>
      </c>
      <c r="C35" s="7" t="s">
        <v>0</v>
      </c>
      <c r="D35" s="8">
        <v>85.76</v>
      </c>
      <c r="E35" s="7" t="s">
        <v>758</v>
      </c>
    </row>
    <row r="36" spans="1:7" x14ac:dyDescent="0.25">
      <c r="A36" s="6">
        <v>20190222</v>
      </c>
      <c r="B36" s="7" t="str">
        <f t="shared" si="0"/>
        <v>030700</v>
      </c>
      <c r="C36" s="7" t="s">
        <v>0</v>
      </c>
      <c r="D36" s="8">
        <v>88.56</v>
      </c>
      <c r="E36" s="7" t="s">
        <v>758</v>
      </c>
    </row>
    <row r="37" spans="1:7" x14ac:dyDescent="0.25">
      <c r="A37" s="6">
        <v>20190222</v>
      </c>
      <c r="B37" s="7" t="str">
        <f t="shared" si="0"/>
        <v>030700</v>
      </c>
      <c r="C37" s="7" t="s">
        <v>0</v>
      </c>
      <c r="D37" s="8">
        <v>74.319999999999993</v>
      </c>
      <c r="E37" s="7" t="s">
        <v>758</v>
      </c>
    </row>
    <row r="38" spans="1:7" x14ac:dyDescent="0.25">
      <c r="A38" s="6">
        <v>20190222</v>
      </c>
      <c r="B38" s="7" t="str">
        <f t="shared" si="0"/>
        <v>030700</v>
      </c>
      <c r="C38" s="7" t="s">
        <v>0</v>
      </c>
      <c r="D38" s="8">
        <v>21.05</v>
      </c>
      <c r="E38" s="7" t="s">
        <v>759</v>
      </c>
    </row>
    <row r="39" spans="1:7" x14ac:dyDescent="0.25">
      <c r="A39" s="6">
        <v>20190222</v>
      </c>
      <c r="B39" s="7" t="str">
        <f t="shared" si="0"/>
        <v>030700</v>
      </c>
      <c r="C39" s="7" t="s">
        <v>0</v>
      </c>
      <c r="D39" s="8">
        <v>35</v>
      </c>
      <c r="E39" s="7" t="s">
        <v>757</v>
      </c>
    </row>
    <row r="40" spans="1:7" x14ac:dyDescent="0.25">
      <c r="A40" s="6">
        <v>20190222</v>
      </c>
      <c r="B40" s="7" t="str">
        <f t="shared" si="0"/>
        <v>030700</v>
      </c>
      <c r="C40" s="7" t="s">
        <v>0</v>
      </c>
      <c r="D40" s="8">
        <v>35</v>
      </c>
      <c r="E40" s="7" t="s">
        <v>757</v>
      </c>
    </row>
    <row r="41" spans="1:7" x14ac:dyDescent="0.25">
      <c r="A41" s="6">
        <v>20190222</v>
      </c>
      <c r="B41" s="7" t="str">
        <f t="shared" si="0"/>
        <v>030700</v>
      </c>
      <c r="C41" s="7" t="s">
        <v>0</v>
      </c>
      <c r="D41" s="8">
        <v>35</v>
      </c>
      <c r="E41" s="7" t="s">
        <v>757</v>
      </c>
    </row>
    <row r="42" spans="1:7" x14ac:dyDescent="0.25">
      <c r="A42" s="6">
        <v>20190228</v>
      </c>
      <c r="B42" s="7" t="str">
        <f>"030723"</f>
        <v>030723</v>
      </c>
      <c r="C42" s="7" t="s">
        <v>0</v>
      </c>
      <c r="D42" s="8">
        <v>76.42</v>
      </c>
      <c r="E42" s="7" t="s">
        <v>758</v>
      </c>
    </row>
    <row r="43" spans="1:7" x14ac:dyDescent="0.25">
      <c r="A43" s="2"/>
      <c r="C43" s="1" t="s">
        <v>751</v>
      </c>
      <c r="D43" s="15">
        <f>SUM(D34:D42)</f>
        <v>808.93</v>
      </c>
    </row>
    <row r="44" spans="1:7" x14ac:dyDescent="0.25">
      <c r="A44" s="6">
        <v>20190309</v>
      </c>
      <c r="B44" s="7" t="str">
        <f>"030741"</f>
        <v>030741</v>
      </c>
      <c r="C44" s="7" t="s">
        <v>1</v>
      </c>
      <c r="D44" s="8">
        <v>345.29</v>
      </c>
      <c r="E44" s="7" t="s">
        <v>758</v>
      </c>
    </row>
    <row r="45" spans="1:7" x14ac:dyDescent="0.25">
      <c r="A45" s="6">
        <v>20190309</v>
      </c>
      <c r="B45" s="7" t="str">
        <f>"030741"</f>
        <v>030741</v>
      </c>
      <c r="C45" s="7" t="s">
        <v>1</v>
      </c>
      <c r="D45" s="8">
        <v>7.35</v>
      </c>
      <c r="E45" s="7" t="s">
        <v>759</v>
      </c>
      <c r="G45" t="s">
        <v>760</v>
      </c>
    </row>
    <row r="46" spans="1:7" x14ac:dyDescent="0.25">
      <c r="A46" s="6">
        <v>20190309</v>
      </c>
      <c r="B46" s="7" t="str">
        <f>"030741"</f>
        <v>030741</v>
      </c>
      <c r="C46" s="7" t="s">
        <v>1</v>
      </c>
      <c r="D46" s="8">
        <v>35</v>
      </c>
      <c r="E46" s="7" t="s">
        <v>757</v>
      </c>
      <c r="G46" t="s">
        <v>760</v>
      </c>
    </row>
    <row r="47" spans="1:7" x14ac:dyDescent="0.25">
      <c r="A47" s="6">
        <v>20190322</v>
      </c>
      <c r="B47" s="7" t="str">
        <f>"030765"</f>
        <v>030765</v>
      </c>
      <c r="C47" s="7" t="s">
        <v>1</v>
      </c>
      <c r="D47" s="8">
        <v>73.849999999999994</v>
      </c>
      <c r="E47" s="7" t="s">
        <v>758</v>
      </c>
    </row>
    <row r="48" spans="1:7" x14ac:dyDescent="0.25">
      <c r="A48" s="6">
        <v>20190322</v>
      </c>
      <c r="B48" s="7" t="str">
        <f>"030765"</f>
        <v>030765</v>
      </c>
      <c r="C48" s="7" t="s">
        <v>1</v>
      </c>
      <c r="D48" s="8">
        <v>35</v>
      </c>
      <c r="E48" s="7" t="s">
        <v>757</v>
      </c>
    </row>
    <row r="49" spans="1:5" x14ac:dyDescent="0.25">
      <c r="A49" s="2"/>
      <c r="C49" s="13" t="s">
        <v>752</v>
      </c>
      <c r="D49" s="14">
        <f>SUM(D44:D48)</f>
        <v>496.49</v>
      </c>
    </row>
    <row r="50" spans="1:5" x14ac:dyDescent="0.25">
      <c r="A50" s="6">
        <v>20190403</v>
      </c>
      <c r="B50" s="7" t="str">
        <f>"030791"</f>
        <v>030791</v>
      </c>
      <c r="C50" s="7" t="s">
        <v>1</v>
      </c>
      <c r="D50" s="8">
        <v>68.790000000000006</v>
      </c>
      <c r="E50" s="7" t="s">
        <v>758</v>
      </c>
    </row>
    <row r="51" spans="1:5" x14ac:dyDescent="0.25">
      <c r="A51" s="6">
        <v>20190403</v>
      </c>
      <c r="B51" s="7" t="str">
        <f>"030791"</f>
        <v>030791</v>
      </c>
      <c r="C51" s="7" t="s">
        <v>1</v>
      </c>
      <c r="D51" s="8">
        <v>350.1</v>
      </c>
      <c r="E51" s="7" t="s">
        <v>758</v>
      </c>
    </row>
    <row r="52" spans="1:5" x14ac:dyDescent="0.25">
      <c r="A52" s="6">
        <v>20190403</v>
      </c>
      <c r="B52" s="7" t="str">
        <f>"030791"</f>
        <v>030791</v>
      </c>
      <c r="C52" s="7" t="s">
        <v>1</v>
      </c>
      <c r="D52" s="8">
        <v>35</v>
      </c>
      <c r="E52" s="7" t="s">
        <v>757</v>
      </c>
    </row>
    <row r="53" spans="1:5" x14ac:dyDescent="0.25">
      <c r="A53" s="6">
        <v>20190417</v>
      </c>
      <c r="B53" s="7" t="str">
        <f>"030814"</f>
        <v>030814</v>
      </c>
      <c r="C53" s="7" t="s">
        <v>1</v>
      </c>
      <c r="D53" s="8">
        <v>45.19</v>
      </c>
      <c r="E53" s="7" t="s">
        <v>758</v>
      </c>
    </row>
    <row r="54" spans="1:5" x14ac:dyDescent="0.25">
      <c r="A54" s="6">
        <v>20190417</v>
      </c>
      <c r="B54" s="7" t="str">
        <f>"030814"</f>
        <v>030814</v>
      </c>
      <c r="C54" s="7" t="s">
        <v>1</v>
      </c>
      <c r="D54" s="8">
        <v>45.93</v>
      </c>
      <c r="E54" s="7" t="s">
        <v>758</v>
      </c>
    </row>
    <row r="55" spans="1:5" x14ac:dyDescent="0.25">
      <c r="A55" s="6">
        <v>20190417</v>
      </c>
      <c r="B55" s="7" t="str">
        <f>"030814"</f>
        <v>030814</v>
      </c>
      <c r="C55" s="7" t="s">
        <v>1</v>
      </c>
      <c r="D55" s="8">
        <v>35</v>
      </c>
      <c r="E55" s="7" t="s">
        <v>757</v>
      </c>
    </row>
    <row r="56" spans="1:5" x14ac:dyDescent="0.25">
      <c r="A56" s="6">
        <v>20190417</v>
      </c>
      <c r="B56" s="7" t="str">
        <f>"030814"</f>
        <v>030814</v>
      </c>
      <c r="C56" s="7" t="s">
        <v>1</v>
      </c>
      <c r="D56" s="8">
        <v>35</v>
      </c>
      <c r="E56" s="7" t="s">
        <v>757</v>
      </c>
    </row>
    <row r="57" spans="1:5" x14ac:dyDescent="0.25">
      <c r="A57" s="6">
        <v>20190430</v>
      </c>
      <c r="B57" s="7" t="str">
        <f>"030828"</f>
        <v>030828</v>
      </c>
      <c r="C57" s="7" t="s">
        <v>1</v>
      </c>
      <c r="D57" s="8">
        <v>71.03</v>
      </c>
      <c r="E57" s="7" t="s">
        <v>758</v>
      </c>
    </row>
    <row r="58" spans="1:5" x14ac:dyDescent="0.25">
      <c r="A58" s="6">
        <v>20190430</v>
      </c>
      <c r="B58" s="7" t="str">
        <f>"030828"</f>
        <v>030828</v>
      </c>
      <c r="C58" s="7" t="s">
        <v>1</v>
      </c>
      <c r="D58" s="8">
        <v>56.93</v>
      </c>
      <c r="E58" s="7" t="s">
        <v>758</v>
      </c>
    </row>
    <row r="59" spans="1:5" x14ac:dyDescent="0.25">
      <c r="A59" s="6">
        <v>20190430</v>
      </c>
      <c r="B59" s="7" t="str">
        <f>"030828"</f>
        <v>030828</v>
      </c>
      <c r="C59" s="7" t="s">
        <v>1</v>
      </c>
      <c r="D59" s="8">
        <v>35</v>
      </c>
      <c r="E59" s="7" t="s">
        <v>757</v>
      </c>
    </row>
    <row r="60" spans="1:5" x14ac:dyDescent="0.25">
      <c r="A60" s="6">
        <v>20190430</v>
      </c>
      <c r="B60" s="7" t="str">
        <f>"030828"</f>
        <v>030828</v>
      </c>
      <c r="C60" s="7" t="s">
        <v>1</v>
      </c>
      <c r="D60" s="8">
        <v>35</v>
      </c>
      <c r="E60" s="7" t="s">
        <v>757</v>
      </c>
    </row>
    <row r="61" spans="1:5" x14ac:dyDescent="0.25">
      <c r="A61" s="2"/>
      <c r="C61" s="16" t="s">
        <v>756</v>
      </c>
      <c r="D61" s="17">
        <f>SUM(D50:D60)</f>
        <v>812.96999999999991</v>
      </c>
    </row>
    <row r="62" spans="1:5" x14ac:dyDescent="0.25">
      <c r="A62" s="6">
        <v>20190508</v>
      </c>
      <c r="B62" s="7" t="str">
        <f>"030841"</f>
        <v>030841</v>
      </c>
      <c r="C62" s="7" t="s">
        <v>1</v>
      </c>
      <c r="D62" s="8">
        <v>306.52999999999997</v>
      </c>
      <c r="E62" s="7" t="s">
        <v>758</v>
      </c>
    </row>
    <row r="63" spans="1:5" x14ac:dyDescent="0.25">
      <c r="A63" s="6">
        <v>20190508</v>
      </c>
      <c r="B63" s="7" t="str">
        <f>"030841"</f>
        <v>030841</v>
      </c>
      <c r="C63" s="7" t="s">
        <v>1</v>
      </c>
      <c r="D63" s="8">
        <v>48.7</v>
      </c>
      <c r="E63" s="7" t="s">
        <v>759</v>
      </c>
    </row>
    <row r="64" spans="1:5" x14ac:dyDescent="0.25">
      <c r="A64" s="6">
        <v>20190522</v>
      </c>
      <c r="B64" s="7" t="str">
        <f>"030865"</f>
        <v>030865</v>
      </c>
      <c r="C64" s="7" t="s">
        <v>1</v>
      </c>
      <c r="D64" s="8">
        <v>77.92</v>
      </c>
      <c r="E64" s="7" t="s">
        <v>758</v>
      </c>
    </row>
    <row r="65" spans="1:5" x14ac:dyDescent="0.25">
      <c r="A65" s="6">
        <v>20190522</v>
      </c>
      <c r="B65" s="7" t="str">
        <f>"030865"</f>
        <v>030865</v>
      </c>
      <c r="C65" s="7" t="s">
        <v>1</v>
      </c>
      <c r="D65" s="8">
        <v>35</v>
      </c>
      <c r="E65" s="7" t="s">
        <v>757</v>
      </c>
    </row>
    <row r="66" spans="1:5" x14ac:dyDescent="0.25">
      <c r="A66" s="2"/>
      <c r="C66" s="16" t="s">
        <v>755</v>
      </c>
      <c r="D66" s="17">
        <f>SUM(D62:D65)</f>
        <v>468.15</v>
      </c>
    </row>
    <row r="67" spans="1:5" x14ac:dyDescent="0.25">
      <c r="A67" s="6">
        <v>20190611</v>
      </c>
      <c r="B67" s="7" t="str">
        <f>"030887"</f>
        <v>030887</v>
      </c>
      <c r="C67" s="7" t="s">
        <v>2</v>
      </c>
      <c r="D67" s="8">
        <v>46.24</v>
      </c>
      <c r="E67" s="7" t="s">
        <v>3</v>
      </c>
    </row>
    <row r="68" spans="1:5" x14ac:dyDescent="0.25">
      <c r="A68" s="6">
        <v>20190619</v>
      </c>
      <c r="B68" s="7" t="str">
        <f>"030910"</f>
        <v>030910</v>
      </c>
      <c r="C68" s="7" t="s">
        <v>4</v>
      </c>
      <c r="D68" s="8">
        <v>201.16</v>
      </c>
      <c r="E68" s="7" t="s">
        <v>5</v>
      </c>
    </row>
    <row r="69" spans="1:5" x14ac:dyDescent="0.25">
      <c r="A69" s="6">
        <v>20190619</v>
      </c>
      <c r="B69" s="7" t="str">
        <f>"030911"</f>
        <v>030911</v>
      </c>
      <c r="C69" s="7" t="s">
        <v>6</v>
      </c>
      <c r="D69" s="8">
        <v>39.229999999999997</v>
      </c>
      <c r="E69" s="7" t="s">
        <v>7</v>
      </c>
    </row>
    <row r="70" spans="1:5" x14ac:dyDescent="0.25">
      <c r="A70" s="2"/>
      <c r="C70" s="16" t="s">
        <v>754</v>
      </c>
      <c r="D70" s="17">
        <f>SUM(D67:D69)</f>
        <v>286.63</v>
      </c>
    </row>
    <row r="71" spans="1:5" x14ac:dyDescent="0.25">
      <c r="A71" s="6">
        <v>20190724</v>
      </c>
      <c r="B71" s="7" t="str">
        <f>"030954"</f>
        <v>030954</v>
      </c>
      <c r="C71" s="7" t="s">
        <v>2</v>
      </c>
      <c r="D71" s="8">
        <v>58.06</v>
      </c>
      <c r="E71" s="7" t="s">
        <v>8</v>
      </c>
    </row>
    <row r="72" spans="1:5" x14ac:dyDescent="0.25">
      <c r="A72" s="2"/>
      <c r="C72" s="16" t="s">
        <v>753</v>
      </c>
      <c r="D72" s="17">
        <f>SUM(D71)</f>
        <v>58.06</v>
      </c>
    </row>
    <row r="73" spans="1:5" x14ac:dyDescent="0.25">
      <c r="A73" s="6">
        <v>20190821</v>
      </c>
      <c r="B73" s="7" t="str">
        <f>"031007"</f>
        <v>031007</v>
      </c>
      <c r="C73" s="7" t="s">
        <v>1</v>
      </c>
      <c r="D73" s="8">
        <v>360.67</v>
      </c>
      <c r="E73" s="7" t="s">
        <v>758</v>
      </c>
    </row>
    <row r="74" spans="1:5" x14ac:dyDescent="0.25">
      <c r="A74" s="6">
        <v>20190821</v>
      </c>
      <c r="B74" s="7" t="str">
        <f>"031007"</f>
        <v>031007</v>
      </c>
      <c r="C74" s="7" t="s">
        <v>1</v>
      </c>
      <c r="D74" s="8">
        <v>16.079999999999998</v>
      </c>
      <c r="E74" s="7" t="s">
        <v>759</v>
      </c>
    </row>
    <row r="75" spans="1:5" x14ac:dyDescent="0.25">
      <c r="A75" s="6">
        <v>20190821</v>
      </c>
      <c r="B75" s="7" t="str">
        <f>"031012"</f>
        <v>031012</v>
      </c>
      <c r="C75" s="7" t="s">
        <v>9</v>
      </c>
      <c r="D75" s="8">
        <v>300</v>
      </c>
      <c r="E75" s="7" t="s">
        <v>10</v>
      </c>
    </row>
    <row r="76" spans="1:5" x14ac:dyDescent="0.25">
      <c r="A76" s="6">
        <v>20190830</v>
      </c>
      <c r="B76" s="7" t="str">
        <f>"031026"</f>
        <v>031026</v>
      </c>
      <c r="C76" s="7" t="s">
        <v>1</v>
      </c>
      <c r="D76" s="8">
        <v>80.88</v>
      </c>
      <c r="E76" s="7" t="s">
        <v>758</v>
      </c>
    </row>
    <row r="77" spans="1:5" x14ac:dyDescent="0.25">
      <c r="A77" s="6">
        <v>20190830</v>
      </c>
      <c r="B77" s="7" t="str">
        <f>"031026"</f>
        <v>031026</v>
      </c>
      <c r="C77" s="7" t="s">
        <v>1</v>
      </c>
      <c r="D77" s="8">
        <v>35</v>
      </c>
      <c r="E77" s="7" t="s">
        <v>757</v>
      </c>
    </row>
    <row r="78" spans="1:5" x14ac:dyDescent="0.25">
      <c r="A78" s="6">
        <v>20190830</v>
      </c>
      <c r="B78" s="7" t="str">
        <f>"031031"</f>
        <v>031031</v>
      </c>
      <c r="C78" s="7" t="s">
        <v>11</v>
      </c>
      <c r="D78" s="8">
        <v>12</v>
      </c>
      <c r="E78" s="7" t="s">
        <v>12</v>
      </c>
    </row>
    <row r="79" spans="1:5" x14ac:dyDescent="0.25">
      <c r="A79" s="6">
        <v>20190913</v>
      </c>
      <c r="B79" s="7" t="str">
        <f>"031054"</f>
        <v>031054</v>
      </c>
      <c r="C79" s="7" t="s">
        <v>2</v>
      </c>
      <c r="D79" s="8">
        <v>12.88</v>
      </c>
      <c r="E79" s="7" t="s">
        <v>13</v>
      </c>
    </row>
    <row r="80" spans="1:5" x14ac:dyDescent="0.25">
      <c r="A80" s="6">
        <v>20190913</v>
      </c>
      <c r="B80" s="7" t="str">
        <f>"031054"</f>
        <v>031054</v>
      </c>
      <c r="C80" s="7" t="s">
        <v>2</v>
      </c>
      <c r="D80" s="8">
        <v>2.58</v>
      </c>
      <c r="E80" s="7" t="s">
        <v>13</v>
      </c>
    </row>
    <row r="81" spans="1:5" x14ac:dyDescent="0.25">
      <c r="A81" s="2"/>
      <c r="C81" s="16" t="s">
        <v>745</v>
      </c>
      <c r="D81" s="17">
        <f>SUM(D73:D80)</f>
        <v>820.09</v>
      </c>
    </row>
    <row r="82" spans="1:5" x14ac:dyDescent="0.25">
      <c r="A82" s="2"/>
      <c r="C82" s="16"/>
      <c r="D82" s="17"/>
    </row>
    <row r="83" spans="1:5" x14ac:dyDescent="0.25">
      <c r="A83" s="2"/>
      <c r="C83" s="26" t="s">
        <v>762</v>
      </c>
      <c r="D83" s="27">
        <f>SUM(D81,D72,D70,D66,D61,D49,D43,D33,D26,D21,D14,D9)</f>
        <v>7224.16</v>
      </c>
    </row>
    <row r="84" spans="1:5" x14ac:dyDescent="0.25">
      <c r="A84" s="2"/>
      <c r="C84" s="16"/>
      <c r="D84" s="17"/>
    </row>
    <row r="85" spans="1:5" x14ac:dyDescent="0.25">
      <c r="A85" s="19" t="s">
        <v>743</v>
      </c>
      <c r="B85" s="20"/>
      <c r="C85" s="20"/>
      <c r="D85" s="20"/>
      <c r="E85" s="20"/>
    </row>
    <row r="86" spans="1:5" x14ac:dyDescent="0.25">
      <c r="A86" s="4" t="s">
        <v>738</v>
      </c>
      <c r="B86" s="4" t="s">
        <v>739</v>
      </c>
      <c r="C86" s="4" t="s">
        <v>740</v>
      </c>
      <c r="D86" s="4" t="s">
        <v>741</v>
      </c>
      <c r="E86" s="4" t="s">
        <v>742</v>
      </c>
    </row>
    <row r="87" spans="1:5" x14ac:dyDescent="0.25">
      <c r="A87" s="6">
        <v>20181205</v>
      </c>
      <c r="B87" s="7" t="str">
        <f>"030549"</f>
        <v>030549</v>
      </c>
      <c r="C87" s="7" t="s">
        <v>14</v>
      </c>
      <c r="D87" s="8">
        <v>2150</v>
      </c>
      <c r="E87" s="7" t="s">
        <v>15</v>
      </c>
    </row>
    <row r="88" spans="1:5" x14ac:dyDescent="0.25">
      <c r="A88" s="6">
        <v>20181212</v>
      </c>
      <c r="B88" s="7" t="str">
        <f>"030553"</f>
        <v>030553</v>
      </c>
      <c r="C88" s="7" t="s">
        <v>16</v>
      </c>
      <c r="D88" s="8">
        <v>4015.02</v>
      </c>
      <c r="E88" s="7" t="s">
        <v>17</v>
      </c>
    </row>
    <row r="89" spans="1:5" x14ac:dyDescent="0.25">
      <c r="A89" s="6">
        <v>20181219</v>
      </c>
      <c r="B89" s="7" t="str">
        <f>"030590"</f>
        <v>030590</v>
      </c>
      <c r="C89" s="7" t="s">
        <v>14</v>
      </c>
      <c r="D89" s="8">
        <v>2150</v>
      </c>
      <c r="E89" s="7" t="s">
        <v>15</v>
      </c>
    </row>
    <row r="90" spans="1:5" x14ac:dyDescent="0.25">
      <c r="A90" s="2"/>
      <c r="C90" s="16" t="s">
        <v>749</v>
      </c>
      <c r="D90" s="23">
        <f>SUM(D87:D89)</f>
        <v>8315.02</v>
      </c>
    </row>
    <row r="91" spans="1:5" x14ac:dyDescent="0.25">
      <c r="A91" s="6">
        <v>20190116</v>
      </c>
      <c r="B91" s="7" t="str">
        <f>"030605"</f>
        <v>030605</v>
      </c>
      <c r="C91" s="7" t="s">
        <v>18</v>
      </c>
      <c r="D91" s="8">
        <v>1274.78</v>
      </c>
      <c r="E91" s="7" t="s">
        <v>761</v>
      </c>
    </row>
    <row r="92" spans="1:5" x14ac:dyDescent="0.25">
      <c r="A92" s="6">
        <v>20190124</v>
      </c>
      <c r="B92" s="7" t="str">
        <f>"030631"</f>
        <v>030631</v>
      </c>
      <c r="C92" s="7" t="s">
        <v>14</v>
      </c>
      <c r="D92" s="8">
        <v>8430</v>
      </c>
      <c r="E92" s="7" t="s">
        <v>19</v>
      </c>
    </row>
    <row r="93" spans="1:5" x14ac:dyDescent="0.25">
      <c r="A93" s="6">
        <v>20190124</v>
      </c>
      <c r="B93" s="7" t="str">
        <f>"030632"</f>
        <v>030632</v>
      </c>
      <c r="C93" s="7" t="s">
        <v>14</v>
      </c>
      <c r="D93" s="8">
        <v>4750</v>
      </c>
      <c r="E93" s="7" t="s">
        <v>20</v>
      </c>
    </row>
    <row r="94" spans="1:5" x14ac:dyDescent="0.25">
      <c r="A94" s="6">
        <v>20190128</v>
      </c>
      <c r="B94" s="7" t="str">
        <f>"030641"</f>
        <v>030641</v>
      </c>
      <c r="C94" s="7" t="s">
        <v>14</v>
      </c>
      <c r="D94" s="8">
        <v>835</v>
      </c>
      <c r="E94" s="7" t="s">
        <v>21</v>
      </c>
    </row>
    <row r="95" spans="1:5" x14ac:dyDescent="0.25">
      <c r="A95" s="6">
        <v>20190128</v>
      </c>
      <c r="B95" s="7" t="str">
        <f>"030642"</f>
        <v>030642</v>
      </c>
      <c r="C95" s="7" t="s">
        <v>14</v>
      </c>
      <c r="D95" s="8">
        <v>790</v>
      </c>
      <c r="E95" s="7" t="s">
        <v>22</v>
      </c>
    </row>
    <row r="96" spans="1:5" x14ac:dyDescent="0.25">
      <c r="A96" s="6">
        <v>20190128</v>
      </c>
      <c r="B96" s="7" t="str">
        <f>"030643"</f>
        <v>030643</v>
      </c>
      <c r="C96" s="7" t="s">
        <v>14</v>
      </c>
      <c r="D96" s="8">
        <v>1135</v>
      </c>
      <c r="E96" s="7" t="s">
        <v>21</v>
      </c>
    </row>
    <row r="97" spans="1:5" x14ac:dyDescent="0.25">
      <c r="A97" s="2"/>
      <c r="C97" s="16" t="s">
        <v>750</v>
      </c>
      <c r="D97" s="23">
        <f>SUM(D91:D96)</f>
        <v>17214.78</v>
      </c>
    </row>
    <row r="98" spans="1:5" x14ac:dyDescent="0.25">
      <c r="A98" s="6">
        <v>20190208</v>
      </c>
      <c r="B98" s="7" t="str">
        <f>"030672"</f>
        <v>030672</v>
      </c>
      <c r="C98" s="7" t="s">
        <v>4</v>
      </c>
      <c r="D98" s="8">
        <v>963</v>
      </c>
      <c r="E98" s="7" t="s">
        <v>23</v>
      </c>
    </row>
    <row r="99" spans="1:5" x14ac:dyDescent="0.25">
      <c r="A99" s="6">
        <v>20190222</v>
      </c>
      <c r="B99" s="7" t="str">
        <f>"030708"</f>
        <v>030708</v>
      </c>
      <c r="C99" s="7" t="s">
        <v>14</v>
      </c>
      <c r="D99" s="8">
        <v>8430</v>
      </c>
      <c r="E99" s="7" t="s">
        <v>19</v>
      </c>
    </row>
    <row r="100" spans="1:5" x14ac:dyDescent="0.25">
      <c r="A100" s="6">
        <v>20190222</v>
      </c>
      <c r="B100" s="7" t="str">
        <f>"030709"</f>
        <v>030709</v>
      </c>
      <c r="C100" s="7" t="s">
        <v>14</v>
      </c>
      <c r="D100" s="8">
        <v>2600</v>
      </c>
      <c r="E100" s="7" t="s">
        <v>20</v>
      </c>
    </row>
    <row r="101" spans="1:5" x14ac:dyDescent="0.25">
      <c r="A101" s="6">
        <v>20190222</v>
      </c>
      <c r="B101" s="7" t="str">
        <f>"030710"</f>
        <v>030710</v>
      </c>
      <c r="C101" s="7" t="s">
        <v>14</v>
      </c>
      <c r="D101" s="8">
        <v>937.5</v>
      </c>
      <c r="E101" s="7" t="s">
        <v>24</v>
      </c>
    </row>
    <row r="102" spans="1:5" x14ac:dyDescent="0.25">
      <c r="A102" s="6">
        <v>20190222</v>
      </c>
      <c r="B102" s="7" t="str">
        <f>"030713"</f>
        <v>030713</v>
      </c>
      <c r="C102" s="7" t="s">
        <v>14</v>
      </c>
      <c r="D102" s="8">
        <v>937.5</v>
      </c>
      <c r="E102" s="7" t="s">
        <v>24</v>
      </c>
    </row>
    <row r="103" spans="1:5" x14ac:dyDescent="0.25">
      <c r="A103" s="2"/>
      <c r="C103" s="16" t="s">
        <v>751</v>
      </c>
      <c r="D103" s="23">
        <f>SUM(D98:D102)</f>
        <v>13868</v>
      </c>
    </row>
    <row r="104" spans="1:5" x14ac:dyDescent="0.25">
      <c r="A104" s="6">
        <v>20190322</v>
      </c>
      <c r="B104" s="7" t="str">
        <f>"030763"</f>
        <v>030763</v>
      </c>
      <c r="C104" s="7" t="s">
        <v>25</v>
      </c>
      <c r="D104" s="8">
        <v>399.73</v>
      </c>
      <c r="E104" s="7" t="s">
        <v>26</v>
      </c>
    </row>
    <row r="105" spans="1:5" x14ac:dyDescent="0.25">
      <c r="A105" s="6">
        <v>20190322</v>
      </c>
      <c r="B105" s="7" t="str">
        <f>"030778"</f>
        <v>030778</v>
      </c>
      <c r="C105" s="7" t="s">
        <v>14</v>
      </c>
      <c r="D105" s="8">
        <v>275</v>
      </c>
      <c r="E105" s="7" t="s">
        <v>27</v>
      </c>
    </row>
    <row r="106" spans="1:5" x14ac:dyDescent="0.25">
      <c r="A106" s="2"/>
      <c r="C106" s="16" t="s">
        <v>752</v>
      </c>
      <c r="D106" s="23">
        <f>SUM(D104:D105)</f>
        <v>674.73</v>
      </c>
    </row>
    <row r="107" spans="1:5" x14ac:dyDescent="0.25">
      <c r="A107" s="6">
        <v>20190606</v>
      </c>
      <c r="B107" s="7" t="str">
        <f>"030879"</f>
        <v>030879</v>
      </c>
      <c r="C107" s="7" t="s">
        <v>28</v>
      </c>
      <c r="D107" s="8">
        <v>14612</v>
      </c>
      <c r="E107" s="7" t="s">
        <v>29</v>
      </c>
    </row>
    <row r="108" spans="1:5" x14ac:dyDescent="0.25">
      <c r="A108" s="6">
        <v>20190606</v>
      </c>
      <c r="B108" s="7" t="str">
        <f>"030879"</f>
        <v>030879</v>
      </c>
      <c r="C108" s="7" t="s">
        <v>28</v>
      </c>
      <c r="D108" s="8">
        <v>33191</v>
      </c>
      <c r="E108" s="7" t="s">
        <v>30</v>
      </c>
    </row>
    <row r="109" spans="1:5" x14ac:dyDescent="0.25">
      <c r="A109" s="6">
        <v>20190618</v>
      </c>
      <c r="B109" s="7" t="str">
        <f>"030896"</f>
        <v>030896</v>
      </c>
      <c r="C109" s="7" t="s">
        <v>16</v>
      </c>
      <c r="D109" s="8">
        <v>4341.1899999999996</v>
      </c>
      <c r="E109" s="7" t="s">
        <v>31</v>
      </c>
    </row>
    <row r="110" spans="1:5" x14ac:dyDescent="0.25">
      <c r="A110" s="6">
        <v>20190618</v>
      </c>
      <c r="B110" s="7" t="str">
        <f>"030896"</f>
        <v>030896</v>
      </c>
      <c r="C110" s="7" t="s">
        <v>16</v>
      </c>
      <c r="D110" s="8">
        <v>303</v>
      </c>
      <c r="E110" s="7" t="s">
        <v>31</v>
      </c>
    </row>
    <row r="111" spans="1:5" x14ac:dyDescent="0.25">
      <c r="A111" s="2"/>
      <c r="C111" s="16" t="s">
        <v>754</v>
      </c>
      <c r="D111" s="23">
        <f>SUM(D107:D110)</f>
        <v>52447.19</v>
      </c>
    </row>
    <row r="112" spans="1:5" x14ac:dyDescent="0.25">
      <c r="A112" s="6">
        <v>20190813</v>
      </c>
      <c r="B112" s="7" t="str">
        <f>"030989"</f>
        <v>030989</v>
      </c>
      <c r="C112" s="7" t="s">
        <v>14</v>
      </c>
      <c r="D112" s="8">
        <v>625</v>
      </c>
      <c r="E112" s="7" t="s">
        <v>32</v>
      </c>
    </row>
    <row r="113" spans="1:5" x14ac:dyDescent="0.25">
      <c r="A113" s="6">
        <v>20190813</v>
      </c>
      <c r="B113" s="7" t="str">
        <f>"030990"</f>
        <v>030990</v>
      </c>
      <c r="C113" s="7" t="s">
        <v>14</v>
      </c>
      <c r="D113" s="8">
        <v>425</v>
      </c>
      <c r="E113" s="7" t="s">
        <v>33</v>
      </c>
    </row>
    <row r="114" spans="1:5" x14ac:dyDescent="0.25">
      <c r="A114" s="6">
        <v>20190821</v>
      </c>
      <c r="B114" s="7" t="str">
        <f>"031013"</f>
        <v>031013</v>
      </c>
      <c r="C114" s="7" t="s">
        <v>34</v>
      </c>
      <c r="D114" s="8">
        <v>38500</v>
      </c>
      <c r="E114" s="7" t="s">
        <v>35</v>
      </c>
    </row>
    <row r="115" spans="1:5" x14ac:dyDescent="0.25">
      <c r="A115" s="6">
        <v>20190830</v>
      </c>
      <c r="B115" s="7" t="str">
        <f>"031030"</f>
        <v>031030</v>
      </c>
      <c r="C115" s="7" t="s">
        <v>28</v>
      </c>
      <c r="D115" s="8">
        <v>11612</v>
      </c>
      <c r="E115" s="7" t="s">
        <v>29</v>
      </c>
    </row>
    <row r="116" spans="1:5" x14ac:dyDescent="0.25">
      <c r="A116" s="6">
        <v>20190830</v>
      </c>
      <c r="B116" s="7" t="str">
        <f>"031030"</f>
        <v>031030</v>
      </c>
      <c r="C116" s="7" t="s">
        <v>28</v>
      </c>
      <c r="D116" s="8">
        <v>33191</v>
      </c>
      <c r="E116" s="7" t="s">
        <v>30</v>
      </c>
    </row>
    <row r="117" spans="1:5" x14ac:dyDescent="0.25">
      <c r="A117" s="2"/>
      <c r="C117" s="18" t="s">
        <v>745</v>
      </c>
      <c r="D117" s="22">
        <f>SUM(D112:D116)</f>
        <v>84353</v>
      </c>
    </row>
    <row r="118" spans="1:5" x14ac:dyDescent="0.25">
      <c r="A118" s="2"/>
      <c r="C118" s="24"/>
      <c r="D118" s="25"/>
    </row>
    <row r="119" spans="1:5" x14ac:dyDescent="0.25">
      <c r="A119" s="2"/>
      <c r="C119" s="26" t="s">
        <v>762</v>
      </c>
      <c r="D119" s="27">
        <f>SUM(D117,D111,D106,D103,D97,D90)</f>
        <v>176872.72</v>
      </c>
    </row>
    <row r="120" spans="1:5" x14ac:dyDescent="0.25">
      <c r="A120" s="2"/>
      <c r="C120" s="24"/>
      <c r="D120" s="25"/>
    </row>
    <row r="121" spans="1:5" x14ac:dyDescent="0.25">
      <c r="A121" s="19" t="s">
        <v>744</v>
      </c>
      <c r="B121" s="20"/>
      <c r="C121" s="20"/>
      <c r="D121" s="20"/>
      <c r="E121" s="20"/>
    </row>
    <row r="122" spans="1:5" x14ac:dyDescent="0.25">
      <c r="A122" s="5" t="s">
        <v>738</v>
      </c>
      <c r="B122" s="5" t="s">
        <v>739</v>
      </c>
      <c r="C122" s="5" t="s">
        <v>740</v>
      </c>
      <c r="D122" s="5" t="s">
        <v>741</v>
      </c>
      <c r="E122" s="5" t="s">
        <v>742</v>
      </c>
    </row>
    <row r="123" spans="1:5" x14ac:dyDescent="0.25">
      <c r="A123" s="2">
        <v>20180910</v>
      </c>
      <c r="B123" t="str">
        <f>"030378"</f>
        <v>030378</v>
      </c>
      <c r="C123" t="s">
        <v>40</v>
      </c>
      <c r="D123" s="3">
        <v>557.67999999999995</v>
      </c>
      <c r="E123" t="s">
        <v>41</v>
      </c>
    </row>
    <row r="124" spans="1:5" x14ac:dyDescent="0.25">
      <c r="A124" s="2">
        <v>20180910</v>
      </c>
      <c r="B124" t="str">
        <f>"030379"</f>
        <v>030379</v>
      </c>
      <c r="C124" t="s">
        <v>42</v>
      </c>
      <c r="D124" s="3">
        <v>4200.53</v>
      </c>
      <c r="E124" t="s">
        <v>43</v>
      </c>
    </row>
    <row r="125" spans="1:5" x14ac:dyDescent="0.25">
      <c r="A125" s="2">
        <v>20180910</v>
      </c>
      <c r="B125" t="str">
        <f>"030380"</f>
        <v>030380</v>
      </c>
      <c r="C125" t="s">
        <v>44</v>
      </c>
      <c r="D125" s="3">
        <v>22</v>
      </c>
      <c r="E125" t="s">
        <v>45</v>
      </c>
    </row>
    <row r="126" spans="1:5" x14ac:dyDescent="0.25">
      <c r="A126" s="2">
        <v>20180910</v>
      </c>
      <c r="B126" t="str">
        <f>"030381"</f>
        <v>030381</v>
      </c>
      <c r="C126" t="s">
        <v>46</v>
      </c>
      <c r="D126" s="3">
        <v>185</v>
      </c>
      <c r="E126" t="s">
        <v>47</v>
      </c>
    </row>
    <row r="127" spans="1:5" x14ac:dyDescent="0.25">
      <c r="A127" s="2">
        <v>20180910</v>
      </c>
      <c r="B127" t="str">
        <f>"030382"</f>
        <v>030382</v>
      </c>
      <c r="C127" t="s">
        <v>48</v>
      </c>
      <c r="D127" s="3">
        <v>1250</v>
      </c>
      <c r="E127" t="s">
        <v>49</v>
      </c>
    </row>
    <row r="128" spans="1:5" x14ac:dyDescent="0.25">
      <c r="A128" s="2">
        <v>20180910</v>
      </c>
      <c r="B128" t="str">
        <f>"030384"</f>
        <v>030384</v>
      </c>
      <c r="C128" t="s">
        <v>4</v>
      </c>
      <c r="D128" s="3">
        <v>112.31</v>
      </c>
      <c r="E128" t="s">
        <v>50</v>
      </c>
    </row>
    <row r="129" spans="1:5" x14ac:dyDescent="0.25">
      <c r="A129" s="2">
        <v>20180910</v>
      </c>
      <c r="B129" t="str">
        <f>"030384"</f>
        <v>030384</v>
      </c>
      <c r="C129" t="s">
        <v>4</v>
      </c>
      <c r="D129" s="3">
        <v>310.17</v>
      </c>
      <c r="E129" t="s">
        <v>51</v>
      </c>
    </row>
    <row r="130" spans="1:5" x14ac:dyDescent="0.25">
      <c r="A130" s="2">
        <v>20180910</v>
      </c>
      <c r="B130" t="str">
        <f>"030384"</f>
        <v>030384</v>
      </c>
      <c r="C130" t="s">
        <v>4</v>
      </c>
      <c r="D130" s="3">
        <v>448.97</v>
      </c>
      <c r="E130" t="s">
        <v>52</v>
      </c>
    </row>
    <row r="131" spans="1:5" x14ac:dyDescent="0.25">
      <c r="A131" s="2">
        <v>20180910</v>
      </c>
      <c r="B131" t="str">
        <f>"030385"</f>
        <v>030385</v>
      </c>
      <c r="C131" t="s">
        <v>53</v>
      </c>
      <c r="D131" s="3">
        <v>19.350000000000001</v>
      </c>
      <c r="E131" t="s">
        <v>54</v>
      </c>
    </row>
    <row r="132" spans="1:5" x14ac:dyDescent="0.25">
      <c r="A132" s="2">
        <v>20180910</v>
      </c>
      <c r="B132" t="str">
        <f>"030386"</f>
        <v>030386</v>
      </c>
      <c r="C132" t="s">
        <v>55</v>
      </c>
      <c r="D132" s="3">
        <v>20.99</v>
      </c>
      <c r="E132" t="s">
        <v>54</v>
      </c>
    </row>
    <row r="133" spans="1:5" x14ac:dyDescent="0.25">
      <c r="A133" s="2">
        <v>20180910</v>
      </c>
      <c r="B133" t="str">
        <f>"030386"</f>
        <v>030386</v>
      </c>
      <c r="C133" t="s">
        <v>55</v>
      </c>
      <c r="D133" s="3">
        <v>19.98</v>
      </c>
      <c r="E133" t="s">
        <v>54</v>
      </c>
    </row>
    <row r="134" spans="1:5" x14ac:dyDescent="0.25">
      <c r="A134" s="2">
        <v>20180910</v>
      </c>
      <c r="B134" t="str">
        <f>"030386"</f>
        <v>030386</v>
      </c>
      <c r="C134" t="s">
        <v>55</v>
      </c>
      <c r="D134" s="3">
        <v>118.8</v>
      </c>
      <c r="E134" t="s">
        <v>54</v>
      </c>
    </row>
    <row r="135" spans="1:5" x14ac:dyDescent="0.25">
      <c r="A135" s="2">
        <v>20180910</v>
      </c>
      <c r="B135" t="str">
        <f>"030386"</f>
        <v>030386</v>
      </c>
      <c r="C135" t="s">
        <v>55</v>
      </c>
      <c r="D135" s="3">
        <v>17.989999999999998</v>
      </c>
      <c r="E135" t="s">
        <v>54</v>
      </c>
    </row>
    <row r="136" spans="1:5" x14ac:dyDescent="0.25">
      <c r="A136" s="2">
        <v>20180910</v>
      </c>
      <c r="B136" t="str">
        <f>"030387"</f>
        <v>030387</v>
      </c>
      <c r="C136" t="s">
        <v>56</v>
      </c>
      <c r="D136" s="3">
        <v>350</v>
      </c>
      <c r="E136" t="s">
        <v>57</v>
      </c>
    </row>
    <row r="137" spans="1:5" x14ac:dyDescent="0.25">
      <c r="A137" s="2">
        <v>20180910</v>
      </c>
      <c r="B137" t="str">
        <f>"030387"</f>
        <v>030387</v>
      </c>
      <c r="C137" t="s">
        <v>56</v>
      </c>
      <c r="D137" s="3">
        <v>35</v>
      </c>
      <c r="E137" t="s">
        <v>57</v>
      </c>
    </row>
    <row r="138" spans="1:5" x14ac:dyDescent="0.25">
      <c r="A138" s="2">
        <v>20180910</v>
      </c>
      <c r="B138" t="str">
        <f>"030388"</f>
        <v>030388</v>
      </c>
      <c r="C138" t="s">
        <v>58</v>
      </c>
      <c r="D138" s="3">
        <v>5176</v>
      </c>
      <c r="E138" t="s">
        <v>59</v>
      </c>
    </row>
    <row r="139" spans="1:5" x14ac:dyDescent="0.25">
      <c r="A139" s="2">
        <v>20180910</v>
      </c>
      <c r="B139" t="str">
        <f>"030389"</f>
        <v>030389</v>
      </c>
      <c r="C139" t="s">
        <v>60</v>
      </c>
      <c r="D139" s="3">
        <v>3689</v>
      </c>
      <c r="E139" t="s">
        <v>61</v>
      </c>
    </row>
    <row r="140" spans="1:5" x14ac:dyDescent="0.25">
      <c r="A140" s="2">
        <v>20180910</v>
      </c>
      <c r="B140" t="str">
        <f>"030390"</f>
        <v>030390</v>
      </c>
      <c r="C140" t="s">
        <v>62</v>
      </c>
      <c r="D140" s="3">
        <v>945</v>
      </c>
      <c r="E140" t="s">
        <v>63</v>
      </c>
    </row>
    <row r="141" spans="1:5" x14ac:dyDescent="0.25">
      <c r="A141" s="2">
        <v>20180910</v>
      </c>
      <c r="B141" t="str">
        <f>"030390"</f>
        <v>030390</v>
      </c>
      <c r="C141" t="s">
        <v>62</v>
      </c>
      <c r="D141" s="3">
        <v>1250</v>
      </c>
      <c r="E141" t="s">
        <v>64</v>
      </c>
    </row>
    <row r="142" spans="1:5" x14ac:dyDescent="0.25">
      <c r="A142" s="2">
        <v>20180910</v>
      </c>
      <c r="B142" t="str">
        <f>"030391"</f>
        <v>030391</v>
      </c>
      <c r="C142" t="s">
        <v>65</v>
      </c>
      <c r="D142" s="3">
        <v>400</v>
      </c>
      <c r="E142" t="s">
        <v>47</v>
      </c>
    </row>
    <row r="143" spans="1:5" x14ac:dyDescent="0.25">
      <c r="A143" s="2">
        <v>20180910</v>
      </c>
      <c r="B143" t="str">
        <f>"030392"</f>
        <v>030392</v>
      </c>
      <c r="C143" t="s">
        <v>66</v>
      </c>
      <c r="D143" s="3">
        <v>1500</v>
      </c>
      <c r="E143" t="s">
        <v>67</v>
      </c>
    </row>
    <row r="144" spans="1:5" x14ac:dyDescent="0.25">
      <c r="A144" s="2">
        <v>20180910</v>
      </c>
      <c r="B144" t="str">
        <f>"030393"</f>
        <v>030393</v>
      </c>
      <c r="C144" t="s">
        <v>68</v>
      </c>
      <c r="D144" s="3">
        <v>1400</v>
      </c>
      <c r="E144" t="s">
        <v>69</v>
      </c>
    </row>
    <row r="145" spans="1:5" x14ac:dyDescent="0.25">
      <c r="A145" s="2">
        <v>20180910</v>
      </c>
      <c r="B145" t="str">
        <f>"030394"</f>
        <v>030394</v>
      </c>
      <c r="C145" t="s">
        <v>70</v>
      </c>
      <c r="D145" s="3">
        <v>5500</v>
      </c>
      <c r="E145" t="s">
        <v>59</v>
      </c>
    </row>
    <row r="146" spans="1:5" x14ac:dyDescent="0.25">
      <c r="A146" s="2">
        <v>20180910</v>
      </c>
      <c r="B146" t="str">
        <f>"030395"</f>
        <v>030395</v>
      </c>
      <c r="C146" t="s">
        <v>71</v>
      </c>
      <c r="D146" s="3">
        <v>69.95</v>
      </c>
      <c r="E146" t="s">
        <v>72</v>
      </c>
    </row>
    <row r="147" spans="1:5" x14ac:dyDescent="0.25">
      <c r="A147" s="2">
        <v>20180925</v>
      </c>
      <c r="B147" t="str">
        <f>"030403"</f>
        <v>030403</v>
      </c>
      <c r="C147" t="s">
        <v>73</v>
      </c>
      <c r="D147" s="3">
        <v>11.99</v>
      </c>
      <c r="E147" t="s">
        <v>74</v>
      </c>
    </row>
    <row r="148" spans="1:5" x14ac:dyDescent="0.25">
      <c r="A148" s="2">
        <v>20180925</v>
      </c>
      <c r="B148" t="str">
        <f>"030404"</f>
        <v>030404</v>
      </c>
      <c r="C148" t="s">
        <v>75</v>
      </c>
      <c r="D148" s="3">
        <v>466</v>
      </c>
      <c r="E148" t="s">
        <v>76</v>
      </c>
    </row>
    <row r="149" spans="1:5" x14ac:dyDescent="0.25">
      <c r="A149" s="2">
        <v>20180925</v>
      </c>
      <c r="B149" t="str">
        <f>"030405"</f>
        <v>030405</v>
      </c>
      <c r="C149" t="s">
        <v>77</v>
      </c>
      <c r="D149" s="3">
        <v>425</v>
      </c>
      <c r="E149" t="s">
        <v>78</v>
      </c>
    </row>
    <row r="150" spans="1:5" x14ac:dyDescent="0.25">
      <c r="A150" s="2">
        <v>20180925</v>
      </c>
      <c r="B150" t="str">
        <f>"030406"</f>
        <v>030406</v>
      </c>
      <c r="C150" t="s">
        <v>79</v>
      </c>
      <c r="D150" s="3">
        <v>5000</v>
      </c>
      <c r="E150" t="s">
        <v>80</v>
      </c>
    </row>
    <row r="151" spans="1:5" x14ac:dyDescent="0.25">
      <c r="A151" s="2">
        <v>20180925</v>
      </c>
      <c r="B151" t="str">
        <f>"030407"</f>
        <v>030407</v>
      </c>
      <c r="C151" t="s">
        <v>81</v>
      </c>
      <c r="D151" s="3">
        <v>202.46</v>
      </c>
      <c r="E151" t="s">
        <v>82</v>
      </c>
    </row>
    <row r="152" spans="1:5" x14ac:dyDescent="0.25">
      <c r="A152" s="2">
        <v>20180925</v>
      </c>
      <c r="B152" t="str">
        <f>"030407"</f>
        <v>030407</v>
      </c>
      <c r="C152" t="s">
        <v>81</v>
      </c>
      <c r="D152" s="3">
        <v>213.94</v>
      </c>
      <c r="E152" t="s">
        <v>82</v>
      </c>
    </row>
    <row r="153" spans="1:5" x14ac:dyDescent="0.25">
      <c r="A153" s="2">
        <v>20180925</v>
      </c>
      <c r="B153" t="str">
        <f>"030407"</f>
        <v>030407</v>
      </c>
      <c r="C153" t="s">
        <v>81</v>
      </c>
      <c r="D153" s="3">
        <v>67.489999999999995</v>
      </c>
      <c r="E153" t="s">
        <v>82</v>
      </c>
    </row>
    <row r="154" spans="1:5" x14ac:dyDescent="0.25">
      <c r="A154" s="2">
        <v>20180925</v>
      </c>
      <c r="B154" t="str">
        <f>"030407"</f>
        <v>030407</v>
      </c>
      <c r="C154" t="s">
        <v>81</v>
      </c>
      <c r="D154" s="3">
        <v>67.489999999999995</v>
      </c>
      <c r="E154" t="s">
        <v>82</v>
      </c>
    </row>
    <row r="155" spans="1:5" x14ac:dyDescent="0.25">
      <c r="A155" s="2">
        <v>20180925</v>
      </c>
      <c r="B155" t="str">
        <f>"030408"</f>
        <v>030408</v>
      </c>
      <c r="C155" t="s">
        <v>83</v>
      </c>
      <c r="D155" s="3">
        <v>180</v>
      </c>
      <c r="E155" t="s">
        <v>84</v>
      </c>
    </row>
    <row r="156" spans="1:5" x14ac:dyDescent="0.25">
      <c r="A156" s="2">
        <v>20180925</v>
      </c>
      <c r="B156" t="str">
        <f>"030409"</f>
        <v>030409</v>
      </c>
      <c r="C156" t="s">
        <v>38</v>
      </c>
      <c r="D156" s="3">
        <v>127.09</v>
      </c>
      <c r="E156" t="s">
        <v>39</v>
      </c>
    </row>
    <row r="157" spans="1:5" x14ac:dyDescent="0.25">
      <c r="A157" s="2">
        <v>20180925</v>
      </c>
      <c r="B157" t="str">
        <f>"030410"</f>
        <v>030410</v>
      </c>
      <c r="C157" t="s">
        <v>85</v>
      </c>
      <c r="D157" s="3">
        <v>25</v>
      </c>
      <c r="E157" t="s">
        <v>86</v>
      </c>
    </row>
    <row r="158" spans="1:5" x14ac:dyDescent="0.25">
      <c r="A158" s="2">
        <v>20180925</v>
      </c>
      <c r="B158" t="str">
        <f>"030411"</f>
        <v>030411</v>
      </c>
      <c r="C158" t="s">
        <v>87</v>
      </c>
      <c r="D158" s="3">
        <v>820.78</v>
      </c>
      <c r="E158" t="s">
        <v>88</v>
      </c>
    </row>
    <row r="159" spans="1:5" x14ac:dyDescent="0.25">
      <c r="A159" s="2">
        <v>20180925</v>
      </c>
      <c r="B159" t="str">
        <f>"030412"</f>
        <v>030412</v>
      </c>
      <c r="C159" t="s">
        <v>89</v>
      </c>
      <c r="D159" s="3">
        <v>142.5</v>
      </c>
      <c r="E159" t="s">
        <v>90</v>
      </c>
    </row>
    <row r="160" spans="1:5" x14ac:dyDescent="0.25">
      <c r="A160" s="2">
        <v>20180925</v>
      </c>
      <c r="B160" t="str">
        <f>"030414"</f>
        <v>030414</v>
      </c>
      <c r="C160" t="s">
        <v>91</v>
      </c>
      <c r="D160" s="3">
        <v>922.2</v>
      </c>
      <c r="E160" t="s">
        <v>92</v>
      </c>
    </row>
    <row r="161" spans="1:5" x14ac:dyDescent="0.25">
      <c r="A161" s="2">
        <v>20180925</v>
      </c>
      <c r="B161" t="str">
        <f t="shared" ref="B161:B169" si="1">"030415"</f>
        <v>030415</v>
      </c>
      <c r="C161" t="s">
        <v>4</v>
      </c>
      <c r="D161" s="3">
        <v>75.78</v>
      </c>
      <c r="E161" t="s">
        <v>93</v>
      </c>
    </row>
    <row r="162" spans="1:5" x14ac:dyDescent="0.25">
      <c r="A162" s="2">
        <v>20180925</v>
      </c>
      <c r="B162" t="str">
        <f t="shared" si="1"/>
        <v>030415</v>
      </c>
      <c r="C162" t="s">
        <v>4</v>
      </c>
      <c r="D162" s="3">
        <v>112.31</v>
      </c>
      <c r="E162" t="s">
        <v>94</v>
      </c>
    </row>
    <row r="163" spans="1:5" x14ac:dyDescent="0.25">
      <c r="A163" s="2">
        <v>20180925</v>
      </c>
      <c r="B163" t="str">
        <f t="shared" si="1"/>
        <v>030415</v>
      </c>
      <c r="C163" t="s">
        <v>4</v>
      </c>
      <c r="D163" s="3">
        <v>102.18</v>
      </c>
      <c r="E163" t="s">
        <v>95</v>
      </c>
    </row>
    <row r="164" spans="1:5" x14ac:dyDescent="0.25">
      <c r="A164" s="2">
        <v>20180925</v>
      </c>
      <c r="B164" t="str">
        <f t="shared" si="1"/>
        <v>030415</v>
      </c>
      <c r="C164" t="s">
        <v>4</v>
      </c>
      <c r="D164" s="3">
        <v>102.59</v>
      </c>
      <c r="E164" t="s">
        <v>96</v>
      </c>
    </row>
    <row r="165" spans="1:5" x14ac:dyDescent="0.25">
      <c r="A165" s="2">
        <v>20180925</v>
      </c>
      <c r="B165" t="str">
        <f t="shared" si="1"/>
        <v>030415</v>
      </c>
      <c r="C165" t="s">
        <v>4</v>
      </c>
      <c r="D165" s="3">
        <v>40.090000000000003</v>
      </c>
      <c r="E165" t="s">
        <v>97</v>
      </c>
    </row>
    <row r="166" spans="1:5" x14ac:dyDescent="0.25">
      <c r="A166" s="2">
        <v>20180925</v>
      </c>
      <c r="B166" t="str">
        <f t="shared" si="1"/>
        <v>030415</v>
      </c>
      <c r="C166" t="s">
        <v>4</v>
      </c>
      <c r="D166" s="3">
        <v>114.89</v>
      </c>
      <c r="E166" t="s">
        <v>98</v>
      </c>
    </row>
    <row r="167" spans="1:5" x14ac:dyDescent="0.25">
      <c r="A167" s="2">
        <v>20180925</v>
      </c>
      <c r="B167" t="str">
        <f t="shared" si="1"/>
        <v>030415</v>
      </c>
      <c r="C167" t="s">
        <v>4</v>
      </c>
      <c r="D167" s="3">
        <v>24</v>
      </c>
      <c r="E167" t="s">
        <v>99</v>
      </c>
    </row>
    <row r="168" spans="1:5" x14ac:dyDescent="0.25">
      <c r="A168" s="2">
        <v>20180925</v>
      </c>
      <c r="B168" t="str">
        <f t="shared" si="1"/>
        <v>030415</v>
      </c>
      <c r="C168" t="s">
        <v>4</v>
      </c>
      <c r="D168" s="3">
        <v>114</v>
      </c>
      <c r="E168" t="s">
        <v>98</v>
      </c>
    </row>
    <row r="169" spans="1:5" x14ac:dyDescent="0.25">
      <c r="A169" s="2">
        <v>20180925</v>
      </c>
      <c r="B169" t="str">
        <f t="shared" si="1"/>
        <v>030415</v>
      </c>
      <c r="C169" t="s">
        <v>4</v>
      </c>
      <c r="D169" s="3">
        <v>25.6</v>
      </c>
      <c r="E169" t="s">
        <v>100</v>
      </c>
    </row>
    <row r="170" spans="1:5" x14ac:dyDescent="0.25">
      <c r="A170" s="2">
        <v>20180925</v>
      </c>
      <c r="B170" t="str">
        <f>"030416"</f>
        <v>030416</v>
      </c>
      <c r="C170" t="s">
        <v>53</v>
      </c>
      <c r="D170" s="3">
        <v>146.47</v>
      </c>
      <c r="E170" t="s">
        <v>54</v>
      </c>
    </row>
    <row r="171" spans="1:5" x14ac:dyDescent="0.25">
      <c r="A171" s="2">
        <v>20180925</v>
      </c>
      <c r="B171" t="str">
        <f>"030416"</f>
        <v>030416</v>
      </c>
      <c r="C171" t="s">
        <v>53</v>
      </c>
      <c r="D171" s="3">
        <v>14.36</v>
      </c>
      <c r="E171" t="s">
        <v>54</v>
      </c>
    </row>
    <row r="172" spans="1:5" x14ac:dyDescent="0.25">
      <c r="A172" s="2">
        <v>20180925</v>
      </c>
      <c r="B172" t="str">
        <f>"030416"</f>
        <v>030416</v>
      </c>
      <c r="C172" t="s">
        <v>53</v>
      </c>
      <c r="D172" s="3">
        <v>38.380000000000003</v>
      </c>
      <c r="E172" t="s">
        <v>54</v>
      </c>
    </row>
    <row r="173" spans="1:5" x14ac:dyDescent="0.25">
      <c r="A173" s="2">
        <v>20180925</v>
      </c>
      <c r="B173" t="str">
        <f>"030417"</f>
        <v>030417</v>
      </c>
      <c r="C173" t="s">
        <v>101</v>
      </c>
      <c r="D173" s="3">
        <v>388.26</v>
      </c>
      <c r="E173" t="s">
        <v>102</v>
      </c>
    </row>
    <row r="174" spans="1:5" x14ac:dyDescent="0.25">
      <c r="A174" s="2">
        <v>20180925</v>
      </c>
      <c r="B174" t="str">
        <f>"030418"</f>
        <v>030418</v>
      </c>
      <c r="C174" t="s">
        <v>55</v>
      </c>
      <c r="D174" s="3">
        <v>404.85</v>
      </c>
      <c r="E174" t="s">
        <v>103</v>
      </c>
    </row>
    <row r="175" spans="1:5" x14ac:dyDescent="0.25">
      <c r="A175" s="2">
        <v>20180925</v>
      </c>
      <c r="B175" t="str">
        <f>"030419"</f>
        <v>030419</v>
      </c>
      <c r="C175" t="s">
        <v>104</v>
      </c>
      <c r="D175" s="3">
        <v>374.33</v>
      </c>
      <c r="E175" t="s">
        <v>105</v>
      </c>
    </row>
    <row r="176" spans="1:5" x14ac:dyDescent="0.25">
      <c r="A176" s="2">
        <v>20180925</v>
      </c>
      <c r="B176" t="str">
        <f>"030420"</f>
        <v>030420</v>
      </c>
      <c r="C176" t="s">
        <v>106</v>
      </c>
      <c r="D176" s="3">
        <v>65.97</v>
      </c>
      <c r="E176" t="s">
        <v>107</v>
      </c>
    </row>
    <row r="177" spans="1:5" x14ac:dyDescent="0.25">
      <c r="A177" s="2">
        <v>20180925</v>
      </c>
      <c r="B177" t="str">
        <f>"030420"</f>
        <v>030420</v>
      </c>
      <c r="C177" t="s">
        <v>106</v>
      </c>
      <c r="D177" s="3">
        <v>97.57</v>
      </c>
      <c r="E177" t="s">
        <v>107</v>
      </c>
    </row>
    <row r="178" spans="1:5" x14ac:dyDescent="0.25">
      <c r="A178" s="2">
        <v>20180925</v>
      </c>
      <c r="B178" t="str">
        <f>"030420"</f>
        <v>030420</v>
      </c>
      <c r="C178" t="s">
        <v>106</v>
      </c>
      <c r="D178" s="3">
        <v>409.98</v>
      </c>
      <c r="E178" t="s">
        <v>108</v>
      </c>
    </row>
    <row r="179" spans="1:5" x14ac:dyDescent="0.25">
      <c r="A179" s="2">
        <v>20180925</v>
      </c>
      <c r="B179" t="str">
        <f>"030420"</f>
        <v>030420</v>
      </c>
      <c r="C179" t="s">
        <v>106</v>
      </c>
      <c r="D179" s="3">
        <v>505.56</v>
      </c>
      <c r="E179" t="s">
        <v>108</v>
      </c>
    </row>
    <row r="180" spans="1:5" x14ac:dyDescent="0.25">
      <c r="A180" s="2">
        <v>20180925</v>
      </c>
      <c r="B180" t="str">
        <f>"030421"</f>
        <v>030421</v>
      </c>
      <c r="C180" t="s">
        <v>109</v>
      </c>
      <c r="D180" s="3">
        <v>78.3</v>
      </c>
      <c r="E180" t="s">
        <v>110</v>
      </c>
    </row>
    <row r="181" spans="1:5" x14ac:dyDescent="0.25">
      <c r="A181" s="2">
        <v>20180925</v>
      </c>
      <c r="B181" t="str">
        <f>"030421"</f>
        <v>030421</v>
      </c>
      <c r="C181" t="s">
        <v>109</v>
      </c>
      <c r="D181" s="3">
        <v>328.39</v>
      </c>
      <c r="E181" t="s">
        <v>111</v>
      </c>
    </row>
    <row r="182" spans="1:5" x14ac:dyDescent="0.25">
      <c r="A182" s="2">
        <v>20180925</v>
      </c>
      <c r="B182" t="str">
        <f>"030422"</f>
        <v>030422</v>
      </c>
      <c r="C182" t="s">
        <v>11</v>
      </c>
      <c r="D182" s="3">
        <v>18114</v>
      </c>
      <c r="E182" t="s">
        <v>112</v>
      </c>
    </row>
    <row r="183" spans="1:5" x14ac:dyDescent="0.25">
      <c r="A183" s="2">
        <v>20180925</v>
      </c>
      <c r="B183" t="str">
        <f>"030423"</f>
        <v>030423</v>
      </c>
      <c r="C183" t="s">
        <v>113</v>
      </c>
      <c r="D183" s="3">
        <v>20.34</v>
      </c>
      <c r="E183" t="s">
        <v>114</v>
      </c>
    </row>
    <row r="184" spans="1:5" x14ac:dyDescent="0.25">
      <c r="A184" s="2">
        <v>20180925</v>
      </c>
      <c r="B184" t="str">
        <f>"030424"</f>
        <v>030424</v>
      </c>
      <c r="C184" t="s">
        <v>115</v>
      </c>
      <c r="D184" s="3">
        <v>20841.689999999999</v>
      </c>
      <c r="E184" t="s">
        <v>116</v>
      </c>
    </row>
    <row r="185" spans="1:5" x14ac:dyDescent="0.25">
      <c r="A185" s="2">
        <v>20180925</v>
      </c>
      <c r="B185" t="str">
        <f>"030424"</f>
        <v>030424</v>
      </c>
      <c r="C185" t="s">
        <v>115</v>
      </c>
      <c r="D185" s="3">
        <v>2570.31</v>
      </c>
      <c r="E185" t="s">
        <v>116</v>
      </c>
    </row>
    <row r="186" spans="1:5" x14ac:dyDescent="0.25">
      <c r="A186" s="2">
        <v>20180925</v>
      </c>
      <c r="B186" t="str">
        <f>"030425"</f>
        <v>030425</v>
      </c>
      <c r="C186" t="s">
        <v>117</v>
      </c>
      <c r="D186" s="3">
        <v>254.88</v>
      </c>
      <c r="E186" t="s">
        <v>118</v>
      </c>
    </row>
    <row r="187" spans="1:5" x14ac:dyDescent="0.25">
      <c r="A187" s="2">
        <v>20180925</v>
      </c>
      <c r="B187" t="str">
        <f>"030426"</f>
        <v>030426</v>
      </c>
      <c r="C187" t="s">
        <v>119</v>
      </c>
      <c r="D187" s="3">
        <v>86.25</v>
      </c>
      <c r="E187" t="s">
        <v>120</v>
      </c>
    </row>
    <row r="188" spans="1:5" x14ac:dyDescent="0.25">
      <c r="A188" s="2">
        <v>20180925</v>
      </c>
      <c r="B188" t="str">
        <f>"030426"</f>
        <v>030426</v>
      </c>
      <c r="C188" t="s">
        <v>119</v>
      </c>
      <c r="D188" s="3">
        <v>86.25</v>
      </c>
      <c r="E188" t="s">
        <v>120</v>
      </c>
    </row>
    <row r="189" spans="1:5" x14ac:dyDescent="0.25">
      <c r="A189" s="2">
        <v>20180925</v>
      </c>
      <c r="B189" t="str">
        <f>"030427"</f>
        <v>030427</v>
      </c>
      <c r="C189" t="s">
        <v>121</v>
      </c>
      <c r="D189" s="3">
        <v>17.010000000000002</v>
      </c>
      <c r="E189" t="s">
        <v>122</v>
      </c>
    </row>
    <row r="190" spans="1:5" x14ac:dyDescent="0.25">
      <c r="A190" s="2">
        <v>20180925</v>
      </c>
      <c r="B190" t="str">
        <f>"030428"</f>
        <v>030428</v>
      </c>
      <c r="C190" t="s">
        <v>70</v>
      </c>
      <c r="D190" s="3">
        <v>700</v>
      </c>
      <c r="E190" t="s">
        <v>59</v>
      </c>
    </row>
    <row r="191" spans="1:5" x14ac:dyDescent="0.25">
      <c r="A191" s="2">
        <v>20180925</v>
      </c>
      <c r="B191" t="str">
        <f>"030429"</f>
        <v>030429</v>
      </c>
      <c r="C191" t="s">
        <v>123</v>
      </c>
      <c r="D191" s="3">
        <v>35</v>
      </c>
      <c r="E191" t="s">
        <v>124</v>
      </c>
    </row>
    <row r="192" spans="1:5" x14ac:dyDescent="0.25">
      <c r="A192" s="2">
        <v>20180925</v>
      </c>
      <c r="B192" t="str">
        <f>"030430"</f>
        <v>030430</v>
      </c>
      <c r="C192" t="s">
        <v>125</v>
      </c>
      <c r="D192" s="3">
        <v>1244.7</v>
      </c>
      <c r="E192" t="s">
        <v>126</v>
      </c>
    </row>
    <row r="193" spans="1:5" x14ac:dyDescent="0.25">
      <c r="A193" s="2"/>
      <c r="C193" s="11" t="s">
        <v>746</v>
      </c>
      <c r="D193" s="21">
        <f>SUM(D123:D192)</f>
        <v>83804.949999999983</v>
      </c>
    </row>
    <row r="194" spans="1:5" x14ac:dyDescent="0.25">
      <c r="A194" s="2">
        <v>20181015</v>
      </c>
      <c r="B194" t="str">
        <f>"030436"</f>
        <v>030436</v>
      </c>
      <c r="C194" t="s">
        <v>127</v>
      </c>
      <c r="D194" s="3">
        <v>7.5</v>
      </c>
      <c r="E194" t="s">
        <v>128</v>
      </c>
    </row>
    <row r="195" spans="1:5" x14ac:dyDescent="0.25">
      <c r="A195" s="2">
        <v>20181015</v>
      </c>
      <c r="B195" t="str">
        <f>"030437"</f>
        <v>030437</v>
      </c>
      <c r="C195" t="s">
        <v>129</v>
      </c>
      <c r="D195" s="3">
        <v>112.46</v>
      </c>
      <c r="E195" t="s">
        <v>130</v>
      </c>
    </row>
    <row r="196" spans="1:5" x14ac:dyDescent="0.25">
      <c r="A196" s="2">
        <v>20181015</v>
      </c>
      <c r="B196" t="str">
        <f>"030438"</f>
        <v>030438</v>
      </c>
      <c r="C196" t="s">
        <v>75</v>
      </c>
      <c r="D196" s="3">
        <v>633</v>
      </c>
      <c r="E196" t="s">
        <v>131</v>
      </c>
    </row>
    <row r="197" spans="1:5" x14ac:dyDescent="0.25">
      <c r="A197" s="2">
        <v>20181015</v>
      </c>
      <c r="B197" t="str">
        <f>"030439"</f>
        <v>030439</v>
      </c>
      <c r="C197" t="s">
        <v>132</v>
      </c>
      <c r="D197" s="3">
        <v>1568.81</v>
      </c>
      <c r="E197" t="s">
        <v>133</v>
      </c>
    </row>
    <row r="198" spans="1:5" x14ac:dyDescent="0.25">
      <c r="A198" s="2">
        <v>20181015</v>
      </c>
      <c r="B198" t="str">
        <f>"030440"</f>
        <v>030440</v>
      </c>
      <c r="C198" t="s">
        <v>40</v>
      </c>
      <c r="D198" s="3">
        <v>594.97</v>
      </c>
      <c r="E198" t="s">
        <v>41</v>
      </c>
    </row>
    <row r="199" spans="1:5" x14ac:dyDescent="0.25">
      <c r="A199" s="2">
        <v>20181015</v>
      </c>
      <c r="B199" t="str">
        <f>"030441"</f>
        <v>030441</v>
      </c>
      <c r="C199" t="s">
        <v>77</v>
      </c>
      <c r="D199" s="3">
        <v>475</v>
      </c>
      <c r="E199" t="s">
        <v>134</v>
      </c>
    </row>
    <row r="200" spans="1:5" x14ac:dyDescent="0.25">
      <c r="A200" s="2">
        <v>20181015</v>
      </c>
      <c r="B200" t="str">
        <f>"030442"</f>
        <v>030442</v>
      </c>
      <c r="C200" t="s">
        <v>135</v>
      </c>
      <c r="D200" s="3">
        <v>8933.4599999999991</v>
      </c>
      <c r="E200" t="s">
        <v>136</v>
      </c>
    </row>
    <row r="201" spans="1:5" x14ac:dyDescent="0.25">
      <c r="A201" s="2">
        <v>20181015</v>
      </c>
      <c r="B201" t="str">
        <f>"030443"</f>
        <v>030443</v>
      </c>
      <c r="C201" t="s">
        <v>44</v>
      </c>
      <c r="D201" s="3">
        <v>7.5</v>
      </c>
      <c r="E201" t="s">
        <v>137</v>
      </c>
    </row>
    <row r="202" spans="1:5" x14ac:dyDescent="0.25">
      <c r="A202" s="2">
        <v>20181015</v>
      </c>
      <c r="B202" t="str">
        <f>"030444"</f>
        <v>030444</v>
      </c>
      <c r="C202" t="s">
        <v>138</v>
      </c>
      <c r="D202" s="3">
        <v>1274.1199999999999</v>
      </c>
      <c r="E202" t="s">
        <v>139</v>
      </c>
    </row>
    <row r="203" spans="1:5" x14ac:dyDescent="0.25">
      <c r="A203" s="2">
        <v>20181015</v>
      </c>
      <c r="B203" t="str">
        <f>"030445"</f>
        <v>030445</v>
      </c>
      <c r="C203" t="s">
        <v>140</v>
      </c>
      <c r="D203" s="3">
        <v>451.8</v>
      </c>
      <c r="E203" t="s">
        <v>141</v>
      </c>
    </row>
    <row r="204" spans="1:5" x14ac:dyDescent="0.25">
      <c r="A204" s="2">
        <v>20181015</v>
      </c>
      <c r="B204" t="str">
        <f>"030445"</f>
        <v>030445</v>
      </c>
      <c r="C204" t="s">
        <v>140</v>
      </c>
      <c r="D204" s="3">
        <v>2500</v>
      </c>
      <c r="E204" t="s">
        <v>141</v>
      </c>
    </row>
    <row r="205" spans="1:5" x14ac:dyDescent="0.25">
      <c r="A205" s="2">
        <v>20181015</v>
      </c>
      <c r="B205" t="str">
        <f>"030446"</f>
        <v>030446</v>
      </c>
      <c r="C205" t="s">
        <v>142</v>
      </c>
      <c r="D205" s="3">
        <v>40</v>
      </c>
      <c r="E205" t="s">
        <v>143</v>
      </c>
    </row>
    <row r="206" spans="1:5" x14ac:dyDescent="0.25">
      <c r="A206" s="2">
        <v>20181015</v>
      </c>
      <c r="B206" t="str">
        <f>"030447"</f>
        <v>030447</v>
      </c>
      <c r="C206" t="s">
        <v>2</v>
      </c>
      <c r="D206" s="3">
        <v>66.17</v>
      </c>
    </row>
    <row r="207" spans="1:5" x14ac:dyDescent="0.25">
      <c r="A207" s="2">
        <v>20181015</v>
      </c>
      <c r="B207" t="str">
        <f>"030447"</f>
        <v>030447</v>
      </c>
      <c r="C207" t="s">
        <v>2</v>
      </c>
      <c r="D207" s="3">
        <v>49.13</v>
      </c>
      <c r="E207" t="s">
        <v>144</v>
      </c>
    </row>
    <row r="208" spans="1:5" x14ac:dyDescent="0.25">
      <c r="A208" s="2">
        <v>20181015</v>
      </c>
      <c r="B208" t="str">
        <f>"030448"</f>
        <v>030448</v>
      </c>
      <c r="C208" t="s">
        <v>145</v>
      </c>
      <c r="D208" s="3">
        <v>48</v>
      </c>
      <c r="E208" t="s">
        <v>146</v>
      </c>
    </row>
    <row r="209" spans="1:5" x14ac:dyDescent="0.25">
      <c r="A209" s="2">
        <v>20181015</v>
      </c>
      <c r="B209" t="str">
        <f>"030450"</f>
        <v>030450</v>
      </c>
      <c r="C209" t="s">
        <v>147</v>
      </c>
      <c r="D209" s="3">
        <v>372.25</v>
      </c>
      <c r="E209" t="s">
        <v>148</v>
      </c>
    </row>
    <row r="210" spans="1:5" x14ac:dyDescent="0.25">
      <c r="A210" s="2">
        <v>20181015</v>
      </c>
      <c r="B210" t="str">
        <f>"030451"</f>
        <v>030451</v>
      </c>
      <c r="C210" t="s">
        <v>53</v>
      </c>
      <c r="D210" s="3">
        <v>23.87</v>
      </c>
      <c r="E210" t="s">
        <v>54</v>
      </c>
    </row>
    <row r="211" spans="1:5" x14ac:dyDescent="0.25">
      <c r="A211" s="2">
        <v>20181015</v>
      </c>
      <c r="B211" t="str">
        <f>"030451"</f>
        <v>030451</v>
      </c>
      <c r="C211" t="s">
        <v>53</v>
      </c>
      <c r="D211" s="3">
        <v>20.61</v>
      </c>
      <c r="E211" t="s">
        <v>54</v>
      </c>
    </row>
    <row r="212" spans="1:5" x14ac:dyDescent="0.25">
      <c r="A212" s="2">
        <v>20181015</v>
      </c>
      <c r="B212" t="str">
        <f>"030451"</f>
        <v>030451</v>
      </c>
      <c r="C212" t="s">
        <v>53</v>
      </c>
      <c r="D212" s="3">
        <v>44.74</v>
      </c>
      <c r="E212" t="s">
        <v>149</v>
      </c>
    </row>
    <row r="213" spans="1:5" x14ac:dyDescent="0.25">
      <c r="A213" s="2">
        <v>20181015</v>
      </c>
      <c r="B213" t="str">
        <f>"030451"</f>
        <v>030451</v>
      </c>
      <c r="C213" t="s">
        <v>53</v>
      </c>
      <c r="D213" s="3">
        <v>83.49</v>
      </c>
      <c r="E213" t="s">
        <v>149</v>
      </c>
    </row>
    <row r="214" spans="1:5" x14ac:dyDescent="0.25">
      <c r="A214" s="2">
        <v>20181015</v>
      </c>
      <c r="B214" t="str">
        <f>"030452"</f>
        <v>030452</v>
      </c>
      <c r="C214" t="s">
        <v>55</v>
      </c>
      <c r="D214" s="3">
        <v>23.97</v>
      </c>
      <c r="E214" t="s">
        <v>103</v>
      </c>
    </row>
    <row r="215" spans="1:5" x14ac:dyDescent="0.25">
      <c r="A215" s="2">
        <v>20181015</v>
      </c>
      <c r="B215" t="str">
        <f>"030453"</f>
        <v>030453</v>
      </c>
      <c r="C215" t="s">
        <v>104</v>
      </c>
      <c r="D215" s="3">
        <v>74.28</v>
      </c>
      <c r="E215" t="s">
        <v>150</v>
      </c>
    </row>
    <row r="216" spans="1:5" x14ac:dyDescent="0.25">
      <c r="A216" s="2">
        <v>20181015</v>
      </c>
      <c r="B216" t="str">
        <f>"030454"</f>
        <v>030454</v>
      </c>
      <c r="C216" t="s">
        <v>151</v>
      </c>
      <c r="D216" s="3">
        <v>104</v>
      </c>
      <c r="E216" t="s">
        <v>152</v>
      </c>
    </row>
    <row r="217" spans="1:5" x14ac:dyDescent="0.25">
      <c r="A217" s="2">
        <v>20181015</v>
      </c>
      <c r="B217" t="str">
        <f>"030456"</f>
        <v>030456</v>
      </c>
      <c r="C217" t="s">
        <v>153</v>
      </c>
      <c r="D217" s="3">
        <v>100</v>
      </c>
      <c r="E217" t="s">
        <v>154</v>
      </c>
    </row>
    <row r="218" spans="1:5" x14ac:dyDescent="0.25">
      <c r="A218" s="2">
        <v>20181015</v>
      </c>
      <c r="B218" t="str">
        <f>"030457"</f>
        <v>030457</v>
      </c>
      <c r="C218" t="s">
        <v>106</v>
      </c>
      <c r="D218" s="3">
        <v>79.900000000000006</v>
      </c>
      <c r="E218" t="s">
        <v>155</v>
      </c>
    </row>
    <row r="219" spans="1:5" x14ac:dyDescent="0.25">
      <c r="A219" s="2">
        <v>20181015</v>
      </c>
      <c r="B219" t="str">
        <f>"030458"</f>
        <v>030458</v>
      </c>
      <c r="C219" t="s">
        <v>11</v>
      </c>
      <c r="D219" s="3">
        <v>8903</v>
      </c>
      <c r="E219" t="s">
        <v>156</v>
      </c>
    </row>
    <row r="220" spans="1:5" x14ac:dyDescent="0.25">
      <c r="A220" s="2">
        <v>20181015</v>
      </c>
      <c r="B220" t="str">
        <f>"030458"</f>
        <v>030458</v>
      </c>
      <c r="C220" t="s">
        <v>11</v>
      </c>
      <c r="D220" s="3">
        <v>5170</v>
      </c>
      <c r="E220" t="s">
        <v>156</v>
      </c>
    </row>
    <row r="221" spans="1:5" x14ac:dyDescent="0.25">
      <c r="A221" s="2">
        <v>20181015</v>
      </c>
      <c r="B221" t="str">
        <f>"030458"</f>
        <v>030458</v>
      </c>
      <c r="C221" t="s">
        <v>11</v>
      </c>
      <c r="D221" s="3">
        <v>5170</v>
      </c>
      <c r="E221" t="s">
        <v>156</v>
      </c>
    </row>
    <row r="222" spans="1:5" x14ac:dyDescent="0.25">
      <c r="A222" s="2">
        <v>20181015</v>
      </c>
      <c r="B222" t="str">
        <f>"030458"</f>
        <v>030458</v>
      </c>
      <c r="C222" t="s">
        <v>11</v>
      </c>
      <c r="D222" s="3">
        <v>1</v>
      </c>
      <c r="E222" t="s">
        <v>156</v>
      </c>
    </row>
    <row r="223" spans="1:5" x14ac:dyDescent="0.25">
      <c r="A223" s="2">
        <v>20181015</v>
      </c>
      <c r="B223" t="str">
        <f>"030459"</f>
        <v>030459</v>
      </c>
      <c r="C223" t="s">
        <v>113</v>
      </c>
      <c r="D223" s="3">
        <v>74.290000000000006</v>
      </c>
      <c r="E223" t="s">
        <v>157</v>
      </c>
    </row>
    <row r="224" spans="1:5" x14ac:dyDescent="0.25">
      <c r="A224" s="2">
        <v>20181015</v>
      </c>
      <c r="B224" t="str">
        <f>"030460"</f>
        <v>030460</v>
      </c>
      <c r="C224" t="s">
        <v>158</v>
      </c>
      <c r="D224" s="3">
        <v>58.37</v>
      </c>
      <c r="E224" t="s">
        <v>159</v>
      </c>
    </row>
    <row r="225" spans="1:5" x14ac:dyDescent="0.25">
      <c r="A225" s="2">
        <v>20181015</v>
      </c>
      <c r="B225" t="str">
        <f>"030462"</f>
        <v>030462</v>
      </c>
      <c r="C225" t="s">
        <v>62</v>
      </c>
      <c r="D225" s="3">
        <v>102.84</v>
      </c>
      <c r="E225" t="s">
        <v>160</v>
      </c>
    </row>
    <row r="226" spans="1:5" x14ac:dyDescent="0.25">
      <c r="A226" s="2">
        <v>20181015</v>
      </c>
      <c r="B226" t="str">
        <f>"030463"</f>
        <v>030463</v>
      </c>
      <c r="C226" t="s">
        <v>161</v>
      </c>
      <c r="D226" s="3">
        <v>280</v>
      </c>
      <c r="E226" t="s">
        <v>162</v>
      </c>
    </row>
    <row r="227" spans="1:5" x14ac:dyDescent="0.25">
      <c r="A227" s="2">
        <v>20181015</v>
      </c>
      <c r="B227" t="str">
        <f>"030464"</f>
        <v>030464</v>
      </c>
      <c r="C227" t="s">
        <v>163</v>
      </c>
      <c r="D227" s="3">
        <v>207.96</v>
      </c>
      <c r="E227" t="s">
        <v>164</v>
      </c>
    </row>
    <row r="228" spans="1:5" x14ac:dyDescent="0.25">
      <c r="A228" s="2">
        <v>20181015</v>
      </c>
      <c r="B228" t="str">
        <f>"030465"</f>
        <v>030465</v>
      </c>
      <c r="C228" t="s">
        <v>165</v>
      </c>
      <c r="D228" s="3">
        <v>1278.8499999999999</v>
      </c>
      <c r="E228" t="s">
        <v>166</v>
      </c>
    </row>
    <row r="229" spans="1:5" x14ac:dyDescent="0.25">
      <c r="A229" s="2">
        <v>20181015</v>
      </c>
      <c r="B229" t="str">
        <f>"030467"</f>
        <v>030467</v>
      </c>
      <c r="C229" t="s">
        <v>123</v>
      </c>
      <c r="D229" s="3">
        <v>35</v>
      </c>
      <c r="E229" t="s">
        <v>167</v>
      </c>
    </row>
    <row r="230" spans="1:5" x14ac:dyDescent="0.25">
      <c r="A230" s="2">
        <v>20181024</v>
      </c>
      <c r="B230" t="str">
        <f>"030468"</f>
        <v>030468</v>
      </c>
      <c r="C230" t="s">
        <v>73</v>
      </c>
      <c r="D230" s="3">
        <v>12.21</v>
      </c>
      <c r="E230" t="s">
        <v>74</v>
      </c>
    </row>
    <row r="231" spans="1:5" x14ac:dyDescent="0.25">
      <c r="A231" s="2">
        <v>20181024</v>
      </c>
      <c r="B231" t="str">
        <f>"030469"</f>
        <v>030469</v>
      </c>
      <c r="C231" t="s">
        <v>81</v>
      </c>
      <c r="D231" s="3">
        <v>202.46</v>
      </c>
      <c r="E231" t="s">
        <v>82</v>
      </c>
    </row>
    <row r="232" spans="1:5" x14ac:dyDescent="0.25">
      <c r="A232" s="2">
        <v>20181024</v>
      </c>
      <c r="B232" t="str">
        <f>"030469"</f>
        <v>030469</v>
      </c>
      <c r="C232" t="s">
        <v>81</v>
      </c>
      <c r="D232" s="3">
        <v>213.94</v>
      </c>
      <c r="E232" t="s">
        <v>82</v>
      </c>
    </row>
    <row r="233" spans="1:5" x14ac:dyDescent="0.25">
      <c r="A233" s="2">
        <v>20181024</v>
      </c>
      <c r="B233" t="str">
        <f>"030469"</f>
        <v>030469</v>
      </c>
      <c r="C233" t="s">
        <v>81</v>
      </c>
      <c r="D233" s="3">
        <v>67.489999999999995</v>
      </c>
      <c r="E233" t="s">
        <v>82</v>
      </c>
    </row>
    <row r="234" spans="1:5" x14ac:dyDescent="0.25">
      <c r="A234" s="2">
        <v>20181024</v>
      </c>
      <c r="B234" t="str">
        <f>"030469"</f>
        <v>030469</v>
      </c>
      <c r="C234" t="s">
        <v>81</v>
      </c>
      <c r="D234" s="3">
        <v>67.489999999999995</v>
      </c>
      <c r="E234" t="s">
        <v>82</v>
      </c>
    </row>
    <row r="235" spans="1:5" x14ac:dyDescent="0.25">
      <c r="A235" s="2">
        <v>20181024</v>
      </c>
      <c r="B235" t="str">
        <f>"030470"</f>
        <v>030470</v>
      </c>
      <c r="C235" t="s">
        <v>168</v>
      </c>
      <c r="D235" s="3">
        <v>2164.69</v>
      </c>
      <c r="E235" t="s">
        <v>169</v>
      </c>
    </row>
    <row r="236" spans="1:5" x14ac:dyDescent="0.25">
      <c r="A236" s="2">
        <v>20181024</v>
      </c>
      <c r="B236" t="str">
        <f>"030470"</f>
        <v>030470</v>
      </c>
      <c r="C236" t="s">
        <v>168</v>
      </c>
      <c r="D236" s="3">
        <v>3545.32</v>
      </c>
      <c r="E236" t="s">
        <v>170</v>
      </c>
    </row>
    <row r="237" spans="1:5" x14ac:dyDescent="0.25">
      <c r="A237" s="2">
        <v>20181024</v>
      </c>
      <c r="B237" t="str">
        <f>"030470"</f>
        <v>030470</v>
      </c>
      <c r="C237" t="s">
        <v>168</v>
      </c>
      <c r="D237" s="3">
        <v>2101.6799999999998</v>
      </c>
      <c r="E237" t="s">
        <v>171</v>
      </c>
    </row>
    <row r="238" spans="1:5" x14ac:dyDescent="0.25">
      <c r="A238" s="2">
        <v>20181024</v>
      </c>
      <c r="B238" t="str">
        <f>"030471"</f>
        <v>030471</v>
      </c>
      <c r="C238" t="s">
        <v>38</v>
      </c>
      <c r="D238" s="3">
        <v>127.09</v>
      </c>
      <c r="E238" t="s">
        <v>39</v>
      </c>
    </row>
    <row r="239" spans="1:5" x14ac:dyDescent="0.25">
      <c r="A239" s="2">
        <v>20181024</v>
      </c>
      <c r="B239" t="str">
        <f>"030472"</f>
        <v>030472</v>
      </c>
      <c r="C239" t="s">
        <v>172</v>
      </c>
      <c r="D239" s="3">
        <v>395</v>
      </c>
      <c r="E239" t="s">
        <v>173</v>
      </c>
    </row>
    <row r="240" spans="1:5" x14ac:dyDescent="0.25">
      <c r="A240" s="2">
        <v>20181024</v>
      </c>
      <c r="B240" t="str">
        <f>"030473"</f>
        <v>030473</v>
      </c>
      <c r="C240" t="s">
        <v>174</v>
      </c>
      <c r="D240" s="3">
        <v>142.44999999999999</v>
      </c>
      <c r="E240" t="s">
        <v>175</v>
      </c>
    </row>
    <row r="241" spans="1:5" x14ac:dyDescent="0.25">
      <c r="A241" s="2">
        <v>20181024</v>
      </c>
      <c r="B241" t="str">
        <f>"030474"</f>
        <v>030474</v>
      </c>
      <c r="C241" t="s">
        <v>89</v>
      </c>
      <c r="D241" s="3">
        <v>230.5</v>
      </c>
      <c r="E241" t="s">
        <v>90</v>
      </c>
    </row>
    <row r="242" spans="1:5" x14ac:dyDescent="0.25">
      <c r="A242" s="2">
        <v>20181024</v>
      </c>
      <c r="B242" t="str">
        <f>"030476"</f>
        <v>030476</v>
      </c>
      <c r="C242" t="s">
        <v>91</v>
      </c>
      <c r="D242" s="3">
        <v>1140.2</v>
      </c>
      <c r="E242" t="s">
        <v>176</v>
      </c>
    </row>
    <row r="243" spans="1:5" x14ac:dyDescent="0.25">
      <c r="A243" s="2">
        <v>20181024</v>
      </c>
      <c r="B243" t="str">
        <f>"030477"</f>
        <v>030477</v>
      </c>
      <c r="C243" t="s">
        <v>4</v>
      </c>
      <c r="D243" s="3">
        <v>32.93</v>
      </c>
      <c r="E243" t="s">
        <v>177</v>
      </c>
    </row>
    <row r="244" spans="1:5" x14ac:dyDescent="0.25">
      <c r="A244" s="2">
        <v>20181024</v>
      </c>
      <c r="B244" t="str">
        <f>"030477"</f>
        <v>030477</v>
      </c>
      <c r="C244" t="s">
        <v>4</v>
      </c>
      <c r="D244" s="3">
        <v>10</v>
      </c>
      <c r="E244" t="s">
        <v>178</v>
      </c>
    </row>
    <row r="245" spans="1:5" x14ac:dyDescent="0.25">
      <c r="A245" s="2">
        <v>20181024</v>
      </c>
      <c r="B245" t="str">
        <f>"030477"</f>
        <v>030477</v>
      </c>
      <c r="C245" t="s">
        <v>4</v>
      </c>
      <c r="D245" s="3">
        <v>53.98</v>
      </c>
      <c r="E245" t="s">
        <v>179</v>
      </c>
    </row>
    <row r="246" spans="1:5" x14ac:dyDescent="0.25">
      <c r="A246" s="2">
        <v>20181024</v>
      </c>
      <c r="B246" t="str">
        <f>"030478"</f>
        <v>030478</v>
      </c>
      <c r="C246" t="s">
        <v>106</v>
      </c>
      <c r="D246" s="3">
        <v>974.6</v>
      </c>
      <c r="E246" t="s">
        <v>180</v>
      </c>
    </row>
    <row r="247" spans="1:5" x14ac:dyDescent="0.25">
      <c r="A247" s="2">
        <v>20181024</v>
      </c>
      <c r="B247" t="str">
        <f>"030478"</f>
        <v>030478</v>
      </c>
      <c r="C247" t="s">
        <v>106</v>
      </c>
      <c r="D247" s="3">
        <v>155</v>
      </c>
      <c r="E247" t="s">
        <v>180</v>
      </c>
    </row>
    <row r="248" spans="1:5" x14ac:dyDescent="0.25">
      <c r="A248" s="2">
        <v>20181024</v>
      </c>
      <c r="B248" t="str">
        <f>"030478"</f>
        <v>030478</v>
      </c>
      <c r="C248" t="s">
        <v>106</v>
      </c>
      <c r="D248" s="3">
        <v>155</v>
      </c>
      <c r="E248" t="s">
        <v>180</v>
      </c>
    </row>
    <row r="249" spans="1:5" x14ac:dyDescent="0.25">
      <c r="A249" s="2">
        <v>20181024</v>
      </c>
      <c r="B249" t="str">
        <f>"030479"</f>
        <v>030479</v>
      </c>
      <c r="C249" t="s">
        <v>11</v>
      </c>
      <c r="D249" s="3">
        <v>450</v>
      </c>
      <c r="E249" t="s">
        <v>181</v>
      </c>
    </row>
    <row r="250" spans="1:5" x14ac:dyDescent="0.25">
      <c r="A250" s="2">
        <v>20181024</v>
      </c>
      <c r="B250" t="str">
        <f>"030480"</f>
        <v>030480</v>
      </c>
      <c r="C250" t="s">
        <v>119</v>
      </c>
      <c r="D250" s="3">
        <v>86.25</v>
      </c>
      <c r="E250" t="s">
        <v>182</v>
      </c>
    </row>
    <row r="251" spans="1:5" x14ac:dyDescent="0.25">
      <c r="A251" s="2">
        <v>20181024</v>
      </c>
      <c r="B251" t="str">
        <f>"030480"</f>
        <v>030480</v>
      </c>
      <c r="C251" t="s">
        <v>119</v>
      </c>
      <c r="D251" s="3">
        <v>86.25</v>
      </c>
      <c r="E251" t="s">
        <v>182</v>
      </c>
    </row>
    <row r="252" spans="1:5" x14ac:dyDescent="0.25">
      <c r="A252" s="2">
        <v>20181024</v>
      </c>
      <c r="B252" t="str">
        <f>"030481"</f>
        <v>030481</v>
      </c>
      <c r="C252" t="s">
        <v>183</v>
      </c>
      <c r="D252" s="3">
        <v>300</v>
      </c>
      <c r="E252" t="s">
        <v>184</v>
      </c>
    </row>
    <row r="253" spans="1:5" x14ac:dyDescent="0.25">
      <c r="A253" s="2">
        <v>20181024</v>
      </c>
      <c r="B253" t="str">
        <f>"030482"</f>
        <v>030482</v>
      </c>
      <c r="C253" t="s">
        <v>185</v>
      </c>
      <c r="D253" s="3">
        <v>75.14</v>
      </c>
      <c r="E253" t="s">
        <v>186</v>
      </c>
    </row>
    <row r="254" spans="1:5" x14ac:dyDescent="0.25">
      <c r="A254" s="2">
        <v>20181031</v>
      </c>
      <c r="B254" t="str">
        <f>"030483"</f>
        <v>030483</v>
      </c>
      <c r="C254" t="s">
        <v>11</v>
      </c>
      <c r="D254" s="3">
        <v>200</v>
      </c>
      <c r="E254" t="s">
        <v>187</v>
      </c>
    </row>
    <row r="255" spans="1:5" x14ac:dyDescent="0.25">
      <c r="A255" s="2">
        <v>20181031</v>
      </c>
      <c r="B255" t="str">
        <f>"030483"</f>
        <v>030483</v>
      </c>
      <c r="C255" t="s">
        <v>11</v>
      </c>
      <c r="D255" s="3">
        <v>200</v>
      </c>
      <c r="E255" t="s">
        <v>187</v>
      </c>
    </row>
    <row r="256" spans="1:5" x14ac:dyDescent="0.25">
      <c r="A256" s="2"/>
      <c r="C256" s="11" t="s">
        <v>747</v>
      </c>
      <c r="D256" s="21">
        <f>SUM(D194:D255)</f>
        <v>52160.009999999987</v>
      </c>
    </row>
    <row r="257" spans="1:5" x14ac:dyDescent="0.25">
      <c r="A257" s="2">
        <v>20181108</v>
      </c>
      <c r="B257" t="str">
        <f>"030486"</f>
        <v>030486</v>
      </c>
      <c r="C257" t="s">
        <v>188</v>
      </c>
      <c r="D257" s="3">
        <v>886.77</v>
      </c>
      <c r="E257" t="s">
        <v>189</v>
      </c>
    </row>
    <row r="258" spans="1:5" x14ac:dyDescent="0.25">
      <c r="A258" s="2">
        <v>20181108</v>
      </c>
      <c r="B258" t="str">
        <f>"030488"</f>
        <v>030488</v>
      </c>
      <c r="C258" t="s">
        <v>129</v>
      </c>
      <c r="D258" s="3">
        <v>112.43</v>
      </c>
      <c r="E258" t="s">
        <v>130</v>
      </c>
    </row>
    <row r="259" spans="1:5" x14ac:dyDescent="0.25">
      <c r="A259" s="2">
        <v>20181108</v>
      </c>
      <c r="B259" t="str">
        <f>"030489"</f>
        <v>030489</v>
      </c>
      <c r="C259" t="s">
        <v>75</v>
      </c>
      <c r="D259" s="3">
        <v>585</v>
      </c>
      <c r="E259" t="s">
        <v>190</v>
      </c>
    </row>
    <row r="260" spans="1:5" x14ac:dyDescent="0.25">
      <c r="A260" s="2">
        <v>20181108</v>
      </c>
      <c r="B260" t="str">
        <f>"030489"</f>
        <v>030489</v>
      </c>
      <c r="C260" t="s">
        <v>75</v>
      </c>
      <c r="D260" s="3">
        <v>265</v>
      </c>
      <c r="E260" t="s">
        <v>191</v>
      </c>
    </row>
    <row r="261" spans="1:5" x14ac:dyDescent="0.25">
      <c r="A261" s="2">
        <v>20181108</v>
      </c>
      <c r="B261" t="str">
        <f>"030490"</f>
        <v>030490</v>
      </c>
      <c r="C261" t="s">
        <v>192</v>
      </c>
      <c r="D261" s="3">
        <v>112.55</v>
      </c>
      <c r="E261" t="s">
        <v>193</v>
      </c>
    </row>
    <row r="262" spans="1:5" x14ac:dyDescent="0.25">
      <c r="A262" s="2">
        <v>20181108</v>
      </c>
      <c r="B262" t="str">
        <f>"030491"</f>
        <v>030491</v>
      </c>
      <c r="C262" t="s">
        <v>194</v>
      </c>
      <c r="D262" s="3">
        <v>900</v>
      </c>
      <c r="E262" t="s">
        <v>195</v>
      </c>
    </row>
    <row r="263" spans="1:5" x14ac:dyDescent="0.25">
      <c r="A263" s="2">
        <v>20181108</v>
      </c>
      <c r="B263" t="str">
        <f>"030492"</f>
        <v>030492</v>
      </c>
      <c r="C263" t="s">
        <v>138</v>
      </c>
      <c r="D263" s="3">
        <v>1126.8900000000001</v>
      </c>
      <c r="E263" t="s">
        <v>139</v>
      </c>
    </row>
    <row r="264" spans="1:5" x14ac:dyDescent="0.25">
      <c r="A264" s="2">
        <v>20181108</v>
      </c>
      <c r="B264" t="str">
        <f>"030493"</f>
        <v>030493</v>
      </c>
      <c r="C264" t="s">
        <v>196</v>
      </c>
      <c r="D264" s="3">
        <v>75</v>
      </c>
      <c r="E264" t="s">
        <v>197</v>
      </c>
    </row>
    <row r="265" spans="1:5" x14ac:dyDescent="0.25">
      <c r="A265" s="2">
        <v>20181108</v>
      </c>
      <c r="B265" t="str">
        <f>"030493"</f>
        <v>030493</v>
      </c>
      <c r="C265" t="s">
        <v>196</v>
      </c>
      <c r="D265" s="3">
        <v>75</v>
      </c>
      <c r="E265" t="s">
        <v>197</v>
      </c>
    </row>
    <row r="266" spans="1:5" x14ac:dyDescent="0.25">
      <c r="A266" s="2">
        <v>20181108</v>
      </c>
      <c r="B266" t="str">
        <f>"030493"</f>
        <v>030493</v>
      </c>
      <c r="C266" t="s">
        <v>196</v>
      </c>
      <c r="D266" s="3">
        <v>75</v>
      </c>
      <c r="E266" t="s">
        <v>197</v>
      </c>
    </row>
    <row r="267" spans="1:5" x14ac:dyDescent="0.25">
      <c r="A267" s="2">
        <v>20181108</v>
      </c>
      <c r="B267" t="str">
        <f>"030493"</f>
        <v>030493</v>
      </c>
      <c r="C267" t="s">
        <v>196</v>
      </c>
      <c r="D267" s="3">
        <v>75</v>
      </c>
      <c r="E267" t="s">
        <v>197</v>
      </c>
    </row>
    <row r="268" spans="1:5" x14ac:dyDescent="0.25">
      <c r="A268" s="2">
        <v>20181108</v>
      </c>
      <c r="B268" t="str">
        <f>"030494"</f>
        <v>030494</v>
      </c>
      <c r="C268" t="s">
        <v>198</v>
      </c>
      <c r="D268" s="3">
        <v>2392</v>
      </c>
      <c r="E268" t="s">
        <v>199</v>
      </c>
    </row>
    <row r="269" spans="1:5" x14ac:dyDescent="0.25">
      <c r="A269" s="2">
        <v>20181108</v>
      </c>
      <c r="B269" t="str">
        <f>"030495"</f>
        <v>030495</v>
      </c>
      <c r="C269" t="s">
        <v>200</v>
      </c>
      <c r="D269" s="3">
        <v>133.66999999999999</v>
      </c>
      <c r="E269" t="s">
        <v>201</v>
      </c>
    </row>
    <row r="270" spans="1:5" x14ac:dyDescent="0.25">
      <c r="A270" s="2">
        <v>20181108</v>
      </c>
      <c r="B270" t="str">
        <f>"030497"</f>
        <v>030497</v>
      </c>
      <c r="C270" t="s">
        <v>147</v>
      </c>
      <c r="D270" s="3">
        <v>371.05</v>
      </c>
      <c r="E270" t="s">
        <v>148</v>
      </c>
    </row>
    <row r="271" spans="1:5" x14ac:dyDescent="0.25">
      <c r="A271" s="2">
        <v>20181108</v>
      </c>
      <c r="B271" t="str">
        <f t="shared" ref="B271:B285" si="2">"030498"</f>
        <v>030498</v>
      </c>
      <c r="C271" t="s">
        <v>4</v>
      </c>
      <c r="D271" s="3">
        <v>10.66</v>
      </c>
      <c r="E271" t="s">
        <v>202</v>
      </c>
    </row>
    <row r="272" spans="1:5" x14ac:dyDescent="0.25">
      <c r="A272" s="2">
        <v>20181108</v>
      </c>
      <c r="B272" t="str">
        <f t="shared" si="2"/>
        <v>030498</v>
      </c>
      <c r="C272" t="s">
        <v>4</v>
      </c>
      <c r="D272" s="3">
        <v>89.42</v>
      </c>
      <c r="E272" t="s">
        <v>203</v>
      </c>
    </row>
    <row r="273" spans="1:5" x14ac:dyDescent="0.25">
      <c r="A273" s="2">
        <v>20181108</v>
      </c>
      <c r="B273" t="str">
        <f t="shared" si="2"/>
        <v>030498</v>
      </c>
      <c r="C273" t="s">
        <v>4</v>
      </c>
      <c r="D273" s="3">
        <v>43</v>
      </c>
      <c r="E273" t="s">
        <v>204</v>
      </c>
    </row>
    <row r="274" spans="1:5" x14ac:dyDescent="0.25">
      <c r="A274" s="2">
        <v>20181108</v>
      </c>
      <c r="B274" t="str">
        <f t="shared" si="2"/>
        <v>030498</v>
      </c>
      <c r="C274" t="s">
        <v>4</v>
      </c>
      <c r="D274" s="3">
        <v>80.19</v>
      </c>
      <c r="E274" t="s">
        <v>205</v>
      </c>
    </row>
    <row r="275" spans="1:5" x14ac:dyDescent="0.25">
      <c r="A275" s="2">
        <v>20181108</v>
      </c>
      <c r="B275" t="str">
        <f t="shared" si="2"/>
        <v>030498</v>
      </c>
      <c r="C275" t="s">
        <v>4</v>
      </c>
      <c r="D275" s="3">
        <v>20.05</v>
      </c>
      <c r="E275" t="s">
        <v>206</v>
      </c>
    </row>
    <row r="276" spans="1:5" x14ac:dyDescent="0.25">
      <c r="A276" s="2">
        <v>20181108</v>
      </c>
      <c r="B276" t="str">
        <f t="shared" si="2"/>
        <v>030498</v>
      </c>
      <c r="C276" t="s">
        <v>4</v>
      </c>
      <c r="D276" s="3">
        <v>70</v>
      </c>
      <c r="E276" t="s">
        <v>207</v>
      </c>
    </row>
    <row r="277" spans="1:5" x14ac:dyDescent="0.25">
      <c r="A277" s="2">
        <v>20181108</v>
      </c>
      <c r="B277" t="str">
        <f t="shared" si="2"/>
        <v>030498</v>
      </c>
      <c r="C277" t="s">
        <v>4</v>
      </c>
      <c r="D277" s="3">
        <v>116</v>
      </c>
      <c r="E277" t="s">
        <v>208</v>
      </c>
    </row>
    <row r="278" spans="1:5" x14ac:dyDescent="0.25">
      <c r="A278" s="2">
        <v>20181108</v>
      </c>
      <c r="B278" t="str">
        <f t="shared" si="2"/>
        <v>030498</v>
      </c>
      <c r="C278" t="s">
        <v>4</v>
      </c>
      <c r="D278" s="3">
        <v>142</v>
      </c>
      <c r="E278" t="s">
        <v>208</v>
      </c>
    </row>
    <row r="279" spans="1:5" x14ac:dyDescent="0.25">
      <c r="A279" s="2">
        <v>20181108</v>
      </c>
      <c r="B279" t="str">
        <f t="shared" si="2"/>
        <v>030498</v>
      </c>
      <c r="C279" t="s">
        <v>4</v>
      </c>
      <c r="D279" s="3">
        <v>322</v>
      </c>
      <c r="E279" t="s">
        <v>209</v>
      </c>
    </row>
    <row r="280" spans="1:5" x14ac:dyDescent="0.25">
      <c r="A280" s="2">
        <v>20181108</v>
      </c>
      <c r="B280" t="str">
        <f t="shared" si="2"/>
        <v>030498</v>
      </c>
      <c r="C280" t="s">
        <v>4</v>
      </c>
      <c r="D280" s="3">
        <v>15</v>
      </c>
      <c r="E280" t="s">
        <v>210</v>
      </c>
    </row>
    <row r="281" spans="1:5" x14ac:dyDescent="0.25">
      <c r="A281" s="2">
        <v>20181108</v>
      </c>
      <c r="B281" t="str">
        <f t="shared" si="2"/>
        <v>030498</v>
      </c>
      <c r="C281" t="s">
        <v>4</v>
      </c>
      <c r="D281" s="3">
        <v>272.75</v>
      </c>
      <c r="E281" t="s">
        <v>211</v>
      </c>
    </row>
    <row r="282" spans="1:5" x14ac:dyDescent="0.25">
      <c r="A282" s="2">
        <v>20181108</v>
      </c>
      <c r="B282" t="str">
        <f t="shared" si="2"/>
        <v>030498</v>
      </c>
      <c r="C282" t="s">
        <v>4</v>
      </c>
      <c r="D282" s="3">
        <v>19.309999999999999</v>
      </c>
      <c r="E282" t="s">
        <v>211</v>
      </c>
    </row>
    <row r="283" spans="1:5" x14ac:dyDescent="0.25">
      <c r="A283" s="2">
        <v>20181108</v>
      </c>
      <c r="B283" t="str">
        <f t="shared" si="2"/>
        <v>030498</v>
      </c>
      <c r="C283" t="s">
        <v>4</v>
      </c>
      <c r="D283" s="3">
        <v>100</v>
      </c>
      <c r="E283" t="s">
        <v>212</v>
      </c>
    </row>
    <row r="284" spans="1:5" x14ac:dyDescent="0.25">
      <c r="A284" s="2">
        <v>20181108</v>
      </c>
      <c r="B284" t="str">
        <f t="shared" si="2"/>
        <v>030498</v>
      </c>
      <c r="C284" t="s">
        <v>4</v>
      </c>
      <c r="D284" s="3">
        <v>117.03</v>
      </c>
      <c r="E284" t="s">
        <v>213</v>
      </c>
    </row>
    <row r="285" spans="1:5" x14ac:dyDescent="0.25">
      <c r="A285" s="2">
        <v>20181108</v>
      </c>
      <c r="B285" t="str">
        <f t="shared" si="2"/>
        <v>030498</v>
      </c>
      <c r="C285" t="s">
        <v>4</v>
      </c>
      <c r="D285" s="3">
        <v>200.52</v>
      </c>
      <c r="E285" t="s">
        <v>213</v>
      </c>
    </row>
    <row r="286" spans="1:5" x14ac:dyDescent="0.25">
      <c r="A286" s="2">
        <v>20181108</v>
      </c>
      <c r="B286" t="str">
        <f t="shared" ref="B286:B291" si="3">"030499"</f>
        <v>030499</v>
      </c>
      <c r="C286" t="s">
        <v>53</v>
      </c>
      <c r="D286" s="3">
        <v>15.26</v>
      </c>
      <c r="E286" t="s">
        <v>149</v>
      </c>
    </row>
    <row r="287" spans="1:5" x14ac:dyDescent="0.25">
      <c r="A287" s="2">
        <v>20181108</v>
      </c>
      <c r="B287" t="str">
        <f t="shared" si="3"/>
        <v>030499</v>
      </c>
      <c r="C287" t="s">
        <v>53</v>
      </c>
      <c r="D287" s="3">
        <v>5.34</v>
      </c>
      <c r="E287" t="s">
        <v>149</v>
      </c>
    </row>
    <row r="288" spans="1:5" x14ac:dyDescent="0.25">
      <c r="A288" s="2">
        <v>20181108</v>
      </c>
      <c r="B288" t="str">
        <f t="shared" si="3"/>
        <v>030499</v>
      </c>
      <c r="C288" t="s">
        <v>53</v>
      </c>
      <c r="D288" s="3">
        <v>148.43</v>
      </c>
      <c r="E288" t="s">
        <v>149</v>
      </c>
    </row>
    <row r="289" spans="1:5" x14ac:dyDescent="0.25">
      <c r="A289" s="2">
        <v>20181108</v>
      </c>
      <c r="B289" t="str">
        <f t="shared" si="3"/>
        <v>030499</v>
      </c>
      <c r="C289" t="s">
        <v>53</v>
      </c>
      <c r="D289" s="3">
        <v>119.06</v>
      </c>
      <c r="E289" t="s">
        <v>149</v>
      </c>
    </row>
    <row r="290" spans="1:5" x14ac:dyDescent="0.25">
      <c r="A290" s="2">
        <v>20181108</v>
      </c>
      <c r="B290" t="str">
        <f t="shared" si="3"/>
        <v>030499</v>
      </c>
      <c r="C290" t="s">
        <v>53</v>
      </c>
      <c r="D290" s="3">
        <v>82.4</v>
      </c>
      <c r="E290" t="s">
        <v>149</v>
      </c>
    </row>
    <row r="291" spans="1:5" x14ac:dyDescent="0.25">
      <c r="A291" s="2">
        <v>20181108</v>
      </c>
      <c r="B291" t="str">
        <f t="shared" si="3"/>
        <v>030499</v>
      </c>
      <c r="C291" t="s">
        <v>53</v>
      </c>
      <c r="D291" s="3">
        <v>-43.6</v>
      </c>
      <c r="E291" t="s">
        <v>214</v>
      </c>
    </row>
    <row r="292" spans="1:5" x14ac:dyDescent="0.25">
      <c r="A292" s="2">
        <v>20181108</v>
      </c>
      <c r="B292" t="str">
        <f>"030500"</f>
        <v>030500</v>
      </c>
      <c r="C292" t="s">
        <v>55</v>
      </c>
      <c r="D292" s="3">
        <v>6.45</v>
      </c>
      <c r="E292" t="s">
        <v>215</v>
      </c>
    </row>
    <row r="293" spans="1:5" x14ac:dyDescent="0.25">
      <c r="A293" s="2">
        <v>20181108</v>
      </c>
      <c r="B293" t="str">
        <f>"030500"</f>
        <v>030500</v>
      </c>
      <c r="C293" t="s">
        <v>55</v>
      </c>
      <c r="D293" s="3">
        <v>71.930000000000007</v>
      </c>
      <c r="E293" t="s">
        <v>215</v>
      </c>
    </row>
    <row r="294" spans="1:5" x14ac:dyDescent="0.25">
      <c r="A294" s="2">
        <v>20181108</v>
      </c>
      <c r="B294" t="str">
        <f>"030501"</f>
        <v>030501</v>
      </c>
      <c r="C294" t="s">
        <v>104</v>
      </c>
      <c r="D294" s="3">
        <v>309.23</v>
      </c>
      <c r="E294" t="s">
        <v>105</v>
      </c>
    </row>
    <row r="295" spans="1:5" x14ac:dyDescent="0.25">
      <c r="A295" s="2">
        <v>20181108</v>
      </c>
      <c r="B295" t="str">
        <f>"030502"</f>
        <v>030502</v>
      </c>
      <c r="C295" t="s">
        <v>11</v>
      </c>
      <c r="D295" s="3">
        <v>500</v>
      </c>
      <c r="E295" t="s">
        <v>216</v>
      </c>
    </row>
    <row r="296" spans="1:5" x14ac:dyDescent="0.25">
      <c r="A296" s="2">
        <v>20181108</v>
      </c>
      <c r="B296" t="str">
        <f>"030503"</f>
        <v>030503</v>
      </c>
      <c r="C296" t="s">
        <v>217</v>
      </c>
      <c r="D296" s="3">
        <v>140</v>
      </c>
      <c r="E296" t="s">
        <v>218</v>
      </c>
    </row>
    <row r="297" spans="1:5" x14ac:dyDescent="0.25">
      <c r="A297" s="2">
        <v>20181108</v>
      </c>
      <c r="B297" t="str">
        <f>"030503"</f>
        <v>030503</v>
      </c>
      <c r="C297" t="s">
        <v>217</v>
      </c>
      <c r="D297" s="3">
        <v>140</v>
      </c>
      <c r="E297" t="s">
        <v>218</v>
      </c>
    </row>
    <row r="298" spans="1:5" x14ac:dyDescent="0.25">
      <c r="A298" s="2">
        <v>20181108</v>
      </c>
      <c r="B298" t="str">
        <f>"030504"</f>
        <v>030504</v>
      </c>
      <c r="C298" t="s">
        <v>219</v>
      </c>
      <c r="D298" s="3">
        <v>286.10000000000002</v>
      </c>
      <c r="E298" t="s">
        <v>220</v>
      </c>
    </row>
    <row r="299" spans="1:5" x14ac:dyDescent="0.25">
      <c r="A299" s="2">
        <v>20181108</v>
      </c>
      <c r="B299" t="str">
        <f>"030505"</f>
        <v>030505</v>
      </c>
      <c r="C299" t="s">
        <v>221</v>
      </c>
      <c r="D299" s="3">
        <v>67.5</v>
      </c>
      <c r="E299" t="s">
        <v>222</v>
      </c>
    </row>
    <row r="300" spans="1:5" x14ac:dyDescent="0.25">
      <c r="A300" s="2">
        <v>20181108</v>
      </c>
      <c r="B300" t="str">
        <f>"030506"</f>
        <v>030506</v>
      </c>
      <c r="C300" t="s">
        <v>223</v>
      </c>
      <c r="D300" s="3">
        <v>20.39</v>
      </c>
      <c r="E300" t="s">
        <v>224</v>
      </c>
    </row>
    <row r="301" spans="1:5" x14ac:dyDescent="0.25">
      <c r="A301" s="2">
        <v>20181108</v>
      </c>
      <c r="B301" t="str">
        <f>"030507"</f>
        <v>030507</v>
      </c>
      <c r="C301" t="s">
        <v>225</v>
      </c>
      <c r="D301" s="3">
        <v>539.34</v>
      </c>
      <c r="E301" t="s">
        <v>226</v>
      </c>
    </row>
    <row r="302" spans="1:5" x14ac:dyDescent="0.25">
      <c r="A302" s="2">
        <v>20181108</v>
      </c>
      <c r="B302" t="str">
        <f>"030508"</f>
        <v>030508</v>
      </c>
      <c r="C302" t="s">
        <v>125</v>
      </c>
      <c r="D302" s="3">
        <v>1473.5</v>
      </c>
      <c r="E302" t="s">
        <v>126</v>
      </c>
    </row>
    <row r="303" spans="1:5" x14ac:dyDescent="0.25">
      <c r="A303" s="2">
        <v>20181108</v>
      </c>
      <c r="B303" t="str">
        <f>"030508"</f>
        <v>030508</v>
      </c>
      <c r="C303" t="s">
        <v>125</v>
      </c>
      <c r="D303" s="3">
        <v>897.8</v>
      </c>
      <c r="E303" t="s">
        <v>126</v>
      </c>
    </row>
    <row r="304" spans="1:5" x14ac:dyDescent="0.25">
      <c r="A304" s="2">
        <v>20181108</v>
      </c>
      <c r="B304" t="str">
        <f>"030508"</f>
        <v>030508</v>
      </c>
      <c r="C304" t="s">
        <v>125</v>
      </c>
      <c r="D304" s="3">
        <v>1850</v>
      </c>
      <c r="E304" t="s">
        <v>227</v>
      </c>
    </row>
    <row r="305" spans="1:5" x14ac:dyDescent="0.25">
      <c r="A305" s="2">
        <v>20181108</v>
      </c>
      <c r="B305" t="str">
        <f>"030508"</f>
        <v>030508</v>
      </c>
      <c r="C305" t="s">
        <v>125</v>
      </c>
      <c r="D305" s="3">
        <v>971.25</v>
      </c>
      <c r="E305" t="s">
        <v>227</v>
      </c>
    </row>
    <row r="306" spans="1:5" x14ac:dyDescent="0.25">
      <c r="A306" s="2">
        <v>20181108</v>
      </c>
      <c r="B306" t="str">
        <f>"030508"</f>
        <v>030508</v>
      </c>
      <c r="C306" t="s">
        <v>125</v>
      </c>
      <c r="D306" s="3">
        <v>278.24</v>
      </c>
      <c r="E306" t="s">
        <v>227</v>
      </c>
    </row>
    <row r="307" spans="1:5" x14ac:dyDescent="0.25">
      <c r="A307" s="2">
        <v>20181108</v>
      </c>
      <c r="B307" t="str">
        <f>"030509"</f>
        <v>030509</v>
      </c>
      <c r="C307" t="s">
        <v>228</v>
      </c>
      <c r="D307" s="3">
        <v>7720</v>
      </c>
      <c r="E307" t="s">
        <v>229</v>
      </c>
    </row>
    <row r="308" spans="1:5" x14ac:dyDescent="0.25">
      <c r="A308" s="2">
        <v>20181108</v>
      </c>
      <c r="B308" t="str">
        <f>"030510"</f>
        <v>030510</v>
      </c>
      <c r="C308" t="s">
        <v>219</v>
      </c>
      <c r="D308" s="3">
        <v>292</v>
      </c>
      <c r="E308" t="s">
        <v>230</v>
      </c>
    </row>
    <row r="309" spans="1:5" x14ac:dyDescent="0.25">
      <c r="A309" s="2">
        <v>20181108</v>
      </c>
      <c r="B309" t="str">
        <f>"030511"</f>
        <v>030511</v>
      </c>
      <c r="C309" t="s">
        <v>231</v>
      </c>
      <c r="D309" s="3">
        <v>1000</v>
      </c>
      <c r="E309" t="s">
        <v>232</v>
      </c>
    </row>
    <row r="310" spans="1:5" x14ac:dyDescent="0.25">
      <c r="A310" s="2">
        <v>20181114</v>
      </c>
      <c r="B310" t="str">
        <f>"030515"</f>
        <v>030515</v>
      </c>
      <c r="C310" t="s">
        <v>233</v>
      </c>
      <c r="D310" s="3">
        <v>114.97</v>
      </c>
      <c r="E310" t="s">
        <v>234</v>
      </c>
    </row>
    <row r="311" spans="1:5" x14ac:dyDescent="0.25">
      <c r="A311" s="2">
        <v>20181114</v>
      </c>
      <c r="B311" t="str">
        <f t="shared" ref="B311:B316" si="4">"030516"</f>
        <v>030516</v>
      </c>
      <c r="C311" t="s">
        <v>106</v>
      </c>
      <c r="D311" s="3">
        <v>827.09</v>
      </c>
      <c r="E311" t="s">
        <v>235</v>
      </c>
    </row>
    <row r="312" spans="1:5" x14ac:dyDescent="0.25">
      <c r="A312" s="2">
        <v>20181114</v>
      </c>
      <c r="B312" t="str">
        <f t="shared" si="4"/>
        <v>030516</v>
      </c>
      <c r="C312" t="s">
        <v>106</v>
      </c>
      <c r="D312" s="3">
        <v>69.989999999999995</v>
      </c>
      <c r="E312" t="s">
        <v>108</v>
      </c>
    </row>
    <row r="313" spans="1:5" x14ac:dyDescent="0.25">
      <c r="A313" s="2">
        <v>20181114</v>
      </c>
      <c r="B313" t="str">
        <f t="shared" si="4"/>
        <v>030516</v>
      </c>
      <c r="C313" t="s">
        <v>106</v>
      </c>
      <c r="D313" s="3">
        <v>528.05999999999995</v>
      </c>
      <c r="E313" t="s">
        <v>235</v>
      </c>
    </row>
    <row r="314" spans="1:5" x14ac:dyDescent="0.25">
      <c r="A314" s="2">
        <v>20181114</v>
      </c>
      <c r="B314" t="str">
        <f t="shared" si="4"/>
        <v>030516</v>
      </c>
      <c r="C314" t="s">
        <v>106</v>
      </c>
      <c r="D314" s="3">
        <v>19.899999999999999</v>
      </c>
      <c r="E314" t="s">
        <v>235</v>
      </c>
    </row>
    <row r="315" spans="1:5" x14ac:dyDescent="0.25">
      <c r="A315" s="2">
        <v>20181114</v>
      </c>
      <c r="B315" t="str">
        <f t="shared" si="4"/>
        <v>030516</v>
      </c>
      <c r="C315" t="s">
        <v>106</v>
      </c>
      <c r="D315" s="3">
        <v>530.95000000000005</v>
      </c>
      <c r="E315" t="s">
        <v>235</v>
      </c>
    </row>
    <row r="316" spans="1:5" x14ac:dyDescent="0.25">
      <c r="A316" s="2">
        <v>20181114</v>
      </c>
      <c r="B316" t="str">
        <f t="shared" si="4"/>
        <v>030516</v>
      </c>
      <c r="C316" t="s">
        <v>106</v>
      </c>
      <c r="D316" s="3">
        <v>104.54</v>
      </c>
      <c r="E316" t="s">
        <v>235</v>
      </c>
    </row>
    <row r="317" spans="1:5" x14ac:dyDescent="0.25">
      <c r="A317" s="2">
        <v>20181114</v>
      </c>
      <c r="B317" t="str">
        <f>"030517"</f>
        <v>030517</v>
      </c>
      <c r="C317" t="s">
        <v>163</v>
      </c>
      <c r="D317" s="3">
        <v>206.79</v>
      </c>
      <c r="E317" t="s">
        <v>164</v>
      </c>
    </row>
    <row r="318" spans="1:5" x14ac:dyDescent="0.25">
      <c r="A318" s="2">
        <v>20181114</v>
      </c>
      <c r="B318" t="str">
        <f>"030518"</f>
        <v>030518</v>
      </c>
      <c r="C318" t="s">
        <v>123</v>
      </c>
      <c r="D318" s="3">
        <v>200</v>
      </c>
      <c r="E318" t="s">
        <v>236</v>
      </c>
    </row>
    <row r="319" spans="1:5" x14ac:dyDescent="0.25">
      <c r="A319" s="2">
        <v>20181128</v>
      </c>
      <c r="B319" t="str">
        <f>"030519"</f>
        <v>030519</v>
      </c>
      <c r="C319" t="s">
        <v>188</v>
      </c>
      <c r="D319" s="3">
        <v>194.91</v>
      </c>
      <c r="E319" t="s">
        <v>189</v>
      </c>
    </row>
    <row r="320" spans="1:5" x14ac:dyDescent="0.25">
      <c r="A320" s="2">
        <v>20181128</v>
      </c>
      <c r="B320" t="str">
        <f>"030520"</f>
        <v>030520</v>
      </c>
      <c r="C320" t="s">
        <v>16</v>
      </c>
      <c r="D320" s="3">
        <v>589.91999999999996</v>
      </c>
      <c r="E320" t="s">
        <v>237</v>
      </c>
    </row>
    <row r="321" spans="1:5" x14ac:dyDescent="0.25">
      <c r="A321" s="2">
        <v>20181128</v>
      </c>
      <c r="B321" t="str">
        <f>"030521"</f>
        <v>030521</v>
      </c>
      <c r="C321" t="s">
        <v>129</v>
      </c>
      <c r="D321" s="3">
        <v>112.21</v>
      </c>
      <c r="E321" t="s">
        <v>130</v>
      </c>
    </row>
    <row r="322" spans="1:5" x14ac:dyDescent="0.25">
      <c r="A322" s="2">
        <v>20181128</v>
      </c>
      <c r="B322" t="str">
        <f>"030522"</f>
        <v>030522</v>
      </c>
      <c r="C322" t="s">
        <v>42</v>
      </c>
      <c r="D322" s="3">
        <v>4410.5</v>
      </c>
      <c r="E322" t="s">
        <v>43</v>
      </c>
    </row>
    <row r="323" spans="1:5" x14ac:dyDescent="0.25">
      <c r="A323" s="2">
        <v>20181128</v>
      </c>
      <c r="B323" t="str">
        <f>"030523"</f>
        <v>030523</v>
      </c>
      <c r="C323" t="s">
        <v>238</v>
      </c>
      <c r="D323" s="3">
        <v>196.2</v>
      </c>
      <c r="E323" t="s">
        <v>239</v>
      </c>
    </row>
    <row r="324" spans="1:5" x14ac:dyDescent="0.25">
      <c r="A324" s="2">
        <v>20181128</v>
      </c>
      <c r="B324" t="str">
        <f>"030524"</f>
        <v>030524</v>
      </c>
      <c r="C324" t="s">
        <v>81</v>
      </c>
      <c r="D324" s="3">
        <v>202.46</v>
      </c>
      <c r="E324" t="s">
        <v>82</v>
      </c>
    </row>
    <row r="325" spans="1:5" x14ac:dyDescent="0.25">
      <c r="A325" s="2">
        <v>20181128</v>
      </c>
      <c r="B325" t="str">
        <f>"030524"</f>
        <v>030524</v>
      </c>
      <c r="C325" t="s">
        <v>81</v>
      </c>
      <c r="D325" s="3">
        <v>213.94</v>
      </c>
      <c r="E325" t="s">
        <v>82</v>
      </c>
    </row>
    <row r="326" spans="1:5" x14ac:dyDescent="0.25">
      <c r="A326" s="2">
        <v>20181128</v>
      </c>
      <c r="B326" t="str">
        <f>"030524"</f>
        <v>030524</v>
      </c>
      <c r="C326" t="s">
        <v>81</v>
      </c>
      <c r="D326" s="3">
        <v>67.489999999999995</v>
      </c>
      <c r="E326" t="s">
        <v>82</v>
      </c>
    </row>
    <row r="327" spans="1:5" x14ac:dyDescent="0.25">
      <c r="A327" s="2">
        <v>20181128</v>
      </c>
      <c r="B327" t="str">
        <f>"030524"</f>
        <v>030524</v>
      </c>
      <c r="C327" t="s">
        <v>81</v>
      </c>
      <c r="D327" s="3">
        <v>67.489999999999995</v>
      </c>
      <c r="E327" t="s">
        <v>82</v>
      </c>
    </row>
    <row r="328" spans="1:5" x14ac:dyDescent="0.25">
      <c r="A328" s="2">
        <v>20181128</v>
      </c>
      <c r="B328" t="str">
        <f>"030525"</f>
        <v>030525</v>
      </c>
      <c r="C328" t="s">
        <v>38</v>
      </c>
      <c r="D328" s="3">
        <v>127.09</v>
      </c>
      <c r="E328" t="s">
        <v>39</v>
      </c>
    </row>
    <row r="329" spans="1:5" x14ac:dyDescent="0.25">
      <c r="A329" s="2">
        <v>20181128</v>
      </c>
      <c r="B329" t="str">
        <f>"030527"</f>
        <v>030527</v>
      </c>
      <c r="C329" t="s">
        <v>233</v>
      </c>
      <c r="D329" s="3">
        <v>29.99</v>
      </c>
      <c r="E329" t="s">
        <v>234</v>
      </c>
    </row>
    <row r="330" spans="1:5" x14ac:dyDescent="0.25">
      <c r="A330" s="2">
        <v>20181128</v>
      </c>
      <c r="B330" t="str">
        <f>"030528"</f>
        <v>030528</v>
      </c>
      <c r="C330" t="s">
        <v>106</v>
      </c>
      <c r="D330" s="3">
        <v>48.26</v>
      </c>
      <c r="E330" t="s">
        <v>240</v>
      </c>
    </row>
    <row r="331" spans="1:5" x14ac:dyDescent="0.25">
      <c r="A331" s="2">
        <v>20181128</v>
      </c>
      <c r="B331" t="str">
        <f>"030528"</f>
        <v>030528</v>
      </c>
      <c r="C331" t="s">
        <v>106</v>
      </c>
      <c r="D331" s="3">
        <v>21.99</v>
      </c>
      <c r="E331" t="s">
        <v>240</v>
      </c>
    </row>
    <row r="332" spans="1:5" x14ac:dyDescent="0.25">
      <c r="A332" s="2">
        <v>20181128</v>
      </c>
      <c r="B332" t="str">
        <f>"030528"</f>
        <v>030528</v>
      </c>
      <c r="C332" t="s">
        <v>106</v>
      </c>
      <c r="D332" s="3">
        <v>38.17</v>
      </c>
      <c r="E332" t="s">
        <v>240</v>
      </c>
    </row>
    <row r="333" spans="1:5" x14ac:dyDescent="0.25">
      <c r="A333" s="2">
        <v>20181128</v>
      </c>
      <c r="B333" t="str">
        <f>"030529"</f>
        <v>030529</v>
      </c>
      <c r="C333" t="s">
        <v>109</v>
      </c>
      <c r="D333" s="3">
        <v>1073.75</v>
      </c>
      <c r="E333" t="s">
        <v>241</v>
      </c>
    </row>
    <row r="334" spans="1:5" x14ac:dyDescent="0.25">
      <c r="A334" s="2">
        <v>20181128</v>
      </c>
      <c r="B334" t="str">
        <f>"030529"</f>
        <v>030529</v>
      </c>
      <c r="C334" t="s">
        <v>109</v>
      </c>
      <c r="D334" s="3">
        <v>381.58</v>
      </c>
      <c r="E334" t="s">
        <v>242</v>
      </c>
    </row>
    <row r="335" spans="1:5" x14ac:dyDescent="0.25">
      <c r="A335" s="2">
        <v>20181128</v>
      </c>
      <c r="B335" t="str">
        <f>"030530"</f>
        <v>030530</v>
      </c>
      <c r="C335" t="s">
        <v>62</v>
      </c>
      <c r="D335" s="3">
        <v>200</v>
      </c>
      <c r="E335" t="s">
        <v>243</v>
      </c>
    </row>
    <row r="336" spans="1:5" x14ac:dyDescent="0.25">
      <c r="A336" s="2">
        <v>20181128</v>
      </c>
      <c r="B336" t="str">
        <f>"030531"</f>
        <v>030531</v>
      </c>
      <c r="C336" t="s">
        <v>244</v>
      </c>
      <c r="D336" s="3">
        <v>250</v>
      </c>
      <c r="E336" t="s">
        <v>245</v>
      </c>
    </row>
    <row r="337" spans="1:5" x14ac:dyDescent="0.25">
      <c r="A337" s="2"/>
      <c r="C337" s="11" t="s">
        <v>748</v>
      </c>
      <c r="D337" s="21">
        <f>SUM(D257:D336)</f>
        <v>36522.149999999994</v>
      </c>
    </row>
    <row r="338" spans="1:5" x14ac:dyDescent="0.25">
      <c r="A338" s="2">
        <v>20181205</v>
      </c>
      <c r="B338" t="str">
        <f>"030535"</f>
        <v>030535</v>
      </c>
      <c r="C338" t="s">
        <v>238</v>
      </c>
      <c r="D338" s="3">
        <v>443</v>
      </c>
      <c r="E338" t="s">
        <v>246</v>
      </c>
    </row>
    <row r="339" spans="1:5" x14ac:dyDescent="0.25">
      <c r="A339" s="2">
        <v>20181205</v>
      </c>
      <c r="B339" t="str">
        <f>"030536"</f>
        <v>030536</v>
      </c>
      <c r="C339" t="s">
        <v>89</v>
      </c>
      <c r="D339" s="3">
        <v>121.5</v>
      </c>
      <c r="E339" t="s">
        <v>90</v>
      </c>
    </row>
    <row r="340" spans="1:5" x14ac:dyDescent="0.25">
      <c r="A340" s="2">
        <v>20181205</v>
      </c>
      <c r="B340" t="str">
        <f>"030538"</f>
        <v>030538</v>
      </c>
      <c r="C340" t="s">
        <v>233</v>
      </c>
      <c r="D340" s="3">
        <v>170.13</v>
      </c>
      <c r="E340" t="s">
        <v>240</v>
      </c>
    </row>
    <row r="341" spans="1:5" x14ac:dyDescent="0.25">
      <c r="A341" s="2">
        <v>20181205</v>
      </c>
      <c r="B341" t="str">
        <f>"030539"</f>
        <v>030539</v>
      </c>
      <c r="C341" t="s">
        <v>91</v>
      </c>
      <c r="D341" s="3">
        <v>1140.2</v>
      </c>
      <c r="E341" t="s">
        <v>92</v>
      </c>
    </row>
    <row r="342" spans="1:5" x14ac:dyDescent="0.25">
      <c r="A342" s="2">
        <v>20181205</v>
      </c>
      <c r="B342" t="str">
        <f>"030540"</f>
        <v>030540</v>
      </c>
      <c r="C342" t="s">
        <v>147</v>
      </c>
      <c r="D342" s="3">
        <v>280.56</v>
      </c>
      <c r="E342" t="s">
        <v>148</v>
      </c>
    </row>
    <row r="343" spans="1:5" x14ac:dyDescent="0.25">
      <c r="A343" s="2">
        <v>20181205</v>
      </c>
      <c r="B343" t="str">
        <f>"030541"</f>
        <v>030541</v>
      </c>
      <c r="C343" t="s">
        <v>4</v>
      </c>
      <c r="D343" s="3">
        <v>20.74</v>
      </c>
      <c r="E343" t="s">
        <v>247</v>
      </c>
    </row>
    <row r="344" spans="1:5" x14ac:dyDescent="0.25">
      <c r="A344" s="2">
        <v>20181205</v>
      </c>
      <c r="B344" t="str">
        <f>"030541"</f>
        <v>030541</v>
      </c>
      <c r="C344" t="s">
        <v>4</v>
      </c>
      <c r="D344" s="3">
        <v>6.7</v>
      </c>
      <c r="E344" t="s">
        <v>248</v>
      </c>
    </row>
    <row r="345" spans="1:5" x14ac:dyDescent="0.25">
      <c r="A345" s="2">
        <v>20181205</v>
      </c>
      <c r="B345" t="str">
        <f>"030541"</f>
        <v>030541</v>
      </c>
      <c r="C345" t="s">
        <v>4</v>
      </c>
      <c r="D345" s="3">
        <v>10.18</v>
      </c>
      <c r="E345" t="s">
        <v>213</v>
      </c>
    </row>
    <row r="346" spans="1:5" x14ac:dyDescent="0.25">
      <c r="A346" s="2">
        <v>20181205</v>
      </c>
      <c r="B346" t="str">
        <f>"030542"</f>
        <v>030542</v>
      </c>
      <c r="C346" t="s">
        <v>53</v>
      </c>
      <c r="D346" s="3">
        <v>521.9</v>
      </c>
      <c r="E346" t="s">
        <v>249</v>
      </c>
    </row>
    <row r="347" spans="1:5" x14ac:dyDescent="0.25">
      <c r="A347" s="2">
        <v>20181205</v>
      </c>
      <c r="B347" t="str">
        <f>"030542"</f>
        <v>030542</v>
      </c>
      <c r="C347" t="s">
        <v>53</v>
      </c>
      <c r="D347" s="3">
        <v>28.98</v>
      </c>
      <c r="E347" t="s">
        <v>149</v>
      </c>
    </row>
    <row r="348" spans="1:5" x14ac:dyDescent="0.25">
      <c r="A348" s="2">
        <v>20181205</v>
      </c>
      <c r="B348" t="str">
        <f>"030543"</f>
        <v>030543</v>
      </c>
      <c r="C348" t="s">
        <v>55</v>
      </c>
      <c r="D348" s="3">
        <v>170</v>
      </c>
      <c r="E348" t="s">
        <v>250</v>
      </c>
    </row>
    <row r="349" spans="1:5" x14ac:dyDescent="0.25">
      <c r="A349" s="2">
        <v>20181205</v>
      </c>
      <c r="B349" t="str">
        <f>"030543"</f>
        <v>030543</v>
      </c>
      <c r="C349" t="s">
        <v>55</v>
      </c>
      <c r="D349" s="3">
        <v>114.96</v>
      </c>
      <c r="E349" t="s">
        <v>251</v>
      </c>
    </row>
    <row r="350" spans="1:5" x14ac:dyDescent="0.25">
      <c r="A350" s="2">
        <v>20181205</v>
      </c>
      <c r="B350" t="str">
        <f>"030544"</f>
        <v>030544</v>
      </c>
      <c r="C350" t="s">
        <v>252</v>
      </c>
      <c r="D350" s="3">
        <v>49.49</v>
      </c>
      <c r="E350" t="s">
        <v>253</v>
      </c>
    </row>
    <row r="351" spans="1:5" x14ac:dyDescent="0.25">
      <c r="A351" s="2">
        <v>20181205</v>
      </c>
      <c r="B351" t="str">
        <f>"030545"</f>
        <v>030545</v>
      </c>
      <c r="C351" t="s">
        <v>254</v>
      </c>
      <c r="D351" s="3">
        <v>459.98</v>
      </c>
      <c r="E351" t="s">
        <v>255</v>
      </c>
    </row>
    <row r="352" spans="1:5" x14ac:dyDescent="0.25">
      <c r="A352" s="2">
        <v>20181205</v>
      </c>
      <c r="B352" t="str">
        <f>"030545"</f>
        <v>030545</v>
      </c>
      <c r="C352" t="s">
        <v>254</v>
      </c>
      <c r="D352" s="3">
        <v>459.97</v>
      </c>
      <c r="E352" t="s">
        <v>255</v>
      </c>
    </row>
    <row r="353" spans="1:5" x14ac:dyDescent="0.25">
      <c r="A353" s="2">
        <v>20181205</v>
      </c>
      <c r="B353" t="str">
        <f>"030546"</f>
        <v>030546</v>
      </c>
      <c r="C353" t="s">
        <v>11</v>
      </c>
      <c r="D353" s="3">
        <v>1000</v>
      </c>
      <c r="E353" t="s">
        <v>256</v>
      </c>
    </row>
    <row r="354" spans="1:5" x14ac:dyDescent="0.25">
      <c r="A354" s="2">
        <v>20181205</v>
      </c>
      <c r="B354" t="str">
        <f>"030547"</f>
        <v>030547</v>
      </c>
      <c r="C354" t="s">
        <v>119</v>
      </c>
      <c r="D354" s="3">
        <v>350</v>
      </c>
      <c r="E354" t="s">
        <v>257</v>
      </c>
    </row>
    <row r="355" spans="1:5" x14ac:dyDescent="0.25">
      <c r="A355" s="2">
        <v>20181205</v>
      </c>
      <c r="B355" t="str">
        <f>"030548"</f>
        <v>030548</v>
      </c>
      <c r="C355" t="s">
        <v>258</v>
      </c>
      <c r="D355" s="3">
        <v>144</v>
      </c>
      <c r="E355" t="s">
        <v>259</v>
      </c>
    </row>
    <row r="356" spans="1:5" x14ac:dyDescent="0.25">
      <c r="A356" s="2">
        <v>20181205</v>
      </c>
      <c r="B356" t="str">
        <f>"030550"</f>
        <v>030550</v>
      </c>
      <c r="C356" t="s">
        <v>231</v>
      </c>
      <c r="D356" s="3">
        <v>236</v>
      </c>
      <c r="E356" t="s">
        <v>232</v>
      </c>
    </row>
    <row r="357" spans="1:5" x14ac:dyDescent="0.25">
      <c r="A357" s="2">
        <v>20181205</v>
      </c>
      <c r="B357" t="str">
        <f>"030551"</f>
        <v>030551</v>
      </c>
      <c r="C357" t="s">
        <v>125</v>
      </c>
      <c r="D357" s="3">
        <v>1850</v>
      </c>
      <c r="E357" t="s">
        <v>227</v>
      </c>
    </row>
    <row r="358" spans="1:5" x14ac:dyDescent="0.25">
      <c r="A358" s="2">
        <v>20181212</v>
      </c>
      <c r="B358" t="str">
        <f>"030552"</f>
        <v>030552</v>
      </c>
      <c r="C358" t="s">
        <v>188</v>
      </c>
      <c r="D358" s="3">
        <v>96.76</v>
      </c>
      <c r="E358" t="s">
        <v>260</v>
      </c>
    </row>
    <row r="359" spans="1:5" x14ac:dyDescent="0.25">
      <c r="A359" s="2">
        <v>20181212</v>
      </c>
      <c r="B359" t="str">
        <f>"030554"</f>
        <v>030554</v>
      </c>
      <c r="C359" t="s">
        <v>261</v>
      </c>
      <c r="D359" s="3">
        <v>1</v>
      </c>
      <c r="E359" t="s">
        <v>262</v>
      </c>
    </row>
    <row r="360" spans="1:5" x14ac:dyDescent="0.25">
      <c r="A360" s="2">
        <v>20181212</v>
      </c>
      <c r="B360" t="str">
        <f>"030555"</f>
        <v>030555</v>
      </c>
      <c r="C360" t="s">
        <v>129</v>
      </c>
      <c r="D360" s="3">
        <v>112.43</v>
      </c>
      <c r="E360" t="s">
        <v>130</v>
      </c>
    </row>
    <row r="361" spans="1:5" x14ac:dyDescent="0.25">
      <c r="A361" s="2">
        <v>20181212</v>
      </c>
      <c r="B361" t="str">
        <f>"030556"</f>
        <v>030556</v>
      </c>
      <c r="C361" t="s">
        <v>263</v>
      </c>
      <c r="D361" s="3">
        <v>210</v>
      </c>
      <c r="E361" t="s">
        <v>264</v>
      </c>
    </row>
    <row r="362" spans="1:5" x14ac:dyDescent="0.25">
      <c r="A362" s="2">
        <v>20181212</v>
      </c>
      <c r="B362" t="str">
        <f>"030557"</f>
        <v>030557</v>
      </c>
      <c r="C362" t="s">
        <v>40</v>
      </c>
      <c r="D362" s="3">
        <v>1129.8900000000001</v>
      </c>
      <c r="E362" t="s">
        <v>41</v>
      </c>
    </row>
    <row r="363" spans="1:5" x14ac:dyDescent="0.25">
      <c r="A363" s="2">
        <v>20181212</v>
      </c>
      <c r="B363" t="str">
        <f>"030558"</f>
        <v>030558</v>
      </c>
      <c r="C363" t="s">
        <v>44</v>
      </c>
      <c r="D363" s="3">
        <v>22</v>
      </c>
      <c r="E363" t="s">
        <v>265</v>
      </c>
    </row>
    <row r="364" spans="1:5" x14ac:dyDescent="0.25">
      <c r="A364" s="2">
        <v>20181212</v>
      </c>
      <c r="B364" t="str">
        <f>"030559"</f>
        <v>030559</v>
      </c>
      <c r="C364" t="s">
        <v>83</v>
      </c>
      <c r="D364" s="3">
        <v>108</v>
      </c>
      <c r="E364" t="s">
        <v>266</v>
      </c>
    </row>
    <row r="365" spans="1:5" x14ac:dyDescent="0.25">
      <c r="A365" s="2">
        <v>20181212</v>
      </c>
      <c r="B365" t="str">
        <f>"030560"</f>
        <v>030560</v>
      </c>
      <c r="C365" t="s">
        <v>138</v>
      </c>
      <c r="D365" s="3">
        <v>1156.8800000000001</v>
      </c>
      <c r="E365" t="s">
        <v>139</v>
      </c>
    </row>
    <row r="366" spans="1:5" x14ac:dyDescent="0.25">
      <c r="A366" s="2">
        <v>20181212</v>
      </c>
      <c r="B366" t="str">
        <f>"030561"</f>
        <v>030561</v>
      </c>
      <c r="C366" t="s">
        <v>267</v>
      </c>
      <c r="D366" s="3">
        <v>66</v>
      </c>
      <c r="E366" t="s">
        <v>268</v>
      </c>
    </row>
    <row r="367" spans="1:5" x14ac:dyDescent="0.25">
      <c r="A367" s="2">
        <v>20181212</v>
      </c>
      <c r="B367" t="str">
        <f>"030562"</f>
        <v>030562</v>
      </c>
      <c r="C367" t="s">
        <v>269</v>
      </c>
      <c r="D367" s="3">
        <v>150</v>
      </c>
      <c r="E367" t="s">
        <v>270</v>
      </c>
    </row>
    <row r="368" spans="1:5" x14ac:dyDescent="0.25">
      <c r="A368" s="2">
        <v>20181212</v>
      </c>
      <c r="B368" t="str">
        <f>"030562"</f>
        <v>030562</v>
      </c>
      <c r="C368" t="s">
        <v>269</v>
      </c>
      <c r="D368" s="3">
        <v>103.79</v>
      </c>
      <c r="E368" t="s">
        <v>271</v>
      </c>
    </row>
    <row r="369" spans="1:5" x14ac:dyDescent="0.25">
      <c r="A369" s="2">
        <v>20181212</v>
      </c>
      <c r="B369" t="str">
        <f>"030563"</f>
        <v>030563</v>
      </c>
      <c r="C369" t="s">
        <v>272</v>
      </c>
      <c r="D369" s="3">
        <v>70</v>
      </c>
      <c r="E369" t="s">
        <v>271</v>
      </c>
    </row>
    <row r="370" spans="1:5" x14ac:dyDescent="0.25">
      <c r="A370" s="2">
        <v>20181212</v>
      </c>
      <c r="B370" t="str">
        <f>"030564"</f>
        <v>030564</v>
      </c>
      <c r="C370" t="s">
        <v>2</v>
      </c>
      <c r="D370" s="3">
        <v>62.93</v>
      </c>
      <c r="E370" t="s">
        <v>273</v>
      </c>
    </row>
    <row r="371" spans="1:5" x14ac:dyDescent="0.25">
      <c r="A371" s="2">
        <v>20181212</v>
      </c>
      <c r="B371" t="str">
        <f>"030564"</f>
        <v>030564</v>
      </c>
      <c r="C371" t="s">
        <v>2</v>
      </c>
      <c r="D371" s="3">
        <v>79.55</v>
      </c>
      <c r="E371" t="s">
        <v>274</v>
      </c>
    </row>
    <row r="372" spans="1:5" x14ac:dyDescent="0.25">
      <c r="A372" s="2">
        <v>20181212</v>
      </c>
      <c r="B372" t="str">
        <f>"030564"</f>
        <v>030564</v>
      </c>
      <c r="C372" t="s">
        <v>2</v>
      </c>
      <c r="D372" s="3">
        <v>58.29</v>
      </c>
      <c r="E372" t="s">
        <v>275</v>
      </c>
    </row>
    <row r="373" spans="1:5" x14ac:dyDescent="0.25">
      <c r="A373" s="2">
        <v>20181212</v>
      </c>
      <c r="B373" t="str">
        <f>"030564"</f>
        <v>030564</v>
      </c>
      <c r="C373" t="s">
        <v>2</v>
      </c>
      <c r="D373" s="3">
        <v>60.64</v>
      </c>
      <c r="E373" t="s">
        <v>276</v>
      </c>
    </row>
    <row r="374" spans="1:5" x14ac:dyDescent="0.25">
      <c r="A374" s="2">
        <v>20181212</v>
      </c>
      <c r="B374" t="str">
        <f>"030565"</f>
        <v>030565</v>
      </c>
      <c r="C374" t="s">
        <v>277</v>
      </c>
      <c r="D374" s="3">
        <v>2.5</v>
      </c>
      <c r="E374" t="s">
        <v>278</v>
      </c>
    </row>
    <row r="375" spans="1:5" x14ac:dyDescent="0.25">
      <c r="A375" s="2">
        <v>20181212</v>
      </c>
      <c r="B375" t="str">
        <f>"030567"</f>
        <v>030567</v>
      </c>
      <c r="C375" t="s">
        <v>91</v>
      </c>
      <c r="D375" s="3">
        <v>214.7</v>
      </c>
      <c r="E375" t="s">
        <v>92</v>
      </c>
    </row>
    <row r="376" spans="1:5" x14ac:dyDescent="0.25">
      <c r="A376" s="2">
        <v>20181212</v>
      </c>
      <c r="B376" t="str">
        <f>"030568"</f>
        <v>030568</v>
      </c>
      <c r="C376" t="s">
        <v>55</v>
      </c>
      <c r="D376" s="3">
        <v>37.94</v>
      </c>
      <c r="E376" t="s">
        <v>149</v>
      </c>
    </row>
    <row r="377" spans="1:5" x14ac:dyDescent="0.25">
      <c r="A377" s="2">
        <v>20181212</v>
      </c>
      <c r="B377" t="str">
        <f>"030568"</f>
        <v>030568</v>
      </c>
      <c r="C377" t="s">
        <v>55</v>
      </c>
      <c r="D377" s="3">
        <v>59.99</v>
      </c>
      <c r="E377" t="s">
        <v>149</v>
      </c>
    </row>
    <row r="378" spans="1:5" x14ac:dyDescent="0.25">
      <c r="A378" s="2">
        <v>20181212</v>
      </c>
      <c r="B378" t="str">
        <f>"030569"</f>
        <v>030569</v>
      </c>
      <c r="C378" t="s">
        <v>279</v>
      </c>
      <c r="D378" s="3">
        <v>96</v>
      </c>
      <c r="E378" t="s">
        <v>271</v>
      </c>
    </row>
    <row r="379" spans="1:5" x14ac:dyDescent="0.25">
      <c r="A379" s="2">
        <v>20181212</v>
      </c>
      <c r="B379" t="str">
        <f>"030570"</f>
        <v>030570</v>
      </c>
      <c r="C379" t="s">
        <v>280</v>
      </c>
      <c r="D379" s="3">
        <v>75</v>
      </c>
      <c r="E379" t="s">
        <v>281</v>
      </c>
    </row>
    <row r="380" spans="1:5" x14ac:dyDescent="0.25">
      <c r="A380" s="2">
        <v>20181212</v>
      </c>
      <c r="B380" t="str">
        <f>"030570"</f>
        <v>030570</v>
      </c>
      <c r="C380" t="s">
        <v>280</v>
      </c>
      <c r="D380" s="3">
        <v>75</v>
      </c>
      <c r="E380" t="s">
        <v>281</v>
      </c>
    </row>
    <row r="381" spans="1:5" x14ac:dyDescent="0.25">
      <c r="A381" s="2">
        <v>20181212</v>
      </c>
      <c r="B381" t="str">
        <f>"030571"</f>
        <v>030571</v>
      </c>
      <c r="C381" t="s">
        <v>106</v>
      </c>
      <c r="D381" s="3">
        <v>47.38</v>
      </c>
      <c r="E381" t="s">
        <v>282</v>
      </c>
    </row>
    <row r="382" spans="1:5" x14ac:dyDescent="0.25">
      <c r="A382" s="2">
        <v>20181212</v>
      </c>
      <c r="B382" t="str">
        <f>"030571"</f>
        <v>030571</v>
      </c>
      <c r="C382" t="s">
        <v>106</v>
      </c>
      <c r="D382" s="3">
        <v>141.18</v>
      </c>
      <c r="E382" t="s">
        <v>283</v>
      </c>
    </row>
    <row r="383" spans="1:5" x14ac:dyDescent="0.25">
      <c r="A383" s="2">
        <v>20181212</v>
      </c>
      <c r="B383" t="str">
        <f>"030571"</f>
        <v>030571</v>
      </c>
      <c r="C383" t="s">
        <v>106</v>
      </c>
      <c r="D383" s="3">
        <v>8.49</v>
      </c>
      <c r="E383" t="s">
        <v>283</v>
      </c>
    </row>
    <row r="384" spans="1:5" x14ac:dyDescent="0.25">
      <c r="A384" s="2">
        <v>20181212</v>
      </c>
      <c r="B384" t="str">
        <f>"030572"</f>
        <v>030572</v>
      </c>
      <c r="C384" t="s">
        <v>11</v>
      </c>
      <c r="D384" s="3">
        <v>25</v>
      </c>
      <c r="E384" t="s">
        <v>284</v>
      </c>
    </row>
    <row r="385" spans="1:5" x14ac:dyDescent="0.25">
      <c r="A385" s="2">
        <v>20181212</v>
      </c>
      <c r="B385" t="str">
        <f>"030573"</f>
        <v>030573</v>
      </c>
      <c r="C385" t="s">
        <v>285</v>
      </c>
      <c r="D385" s="3">
        <v>100</v>
      </c>
      <c r="E385" t="s">
        <v>286</v>
      </c>
    </row>
    <row r="386" spans="1:5" x14ac:dyDescent="0.25">
      <c r="A386" s="2">
        <v>20181212</v>
      </c>
      <c r="B386" t="str">
        <f>"030574"</f>
        <v>030574</v>
      </c>
      <c r="C386" t="s">
        <v>258</v>
      </c>
      <c r="D386" s="3">
        <v>147</v>
      </c>
      <c r="E386" t="s">
        <v>287</v>
      </c>
    </row>
    <row r="387" spans="1:5" x14ac:dyDescent="0.25">
      <c r="A387" s="2">
        <v>20181212</v>
      </c>
      <c r="B387" t="str">
        <f>"030574"</f>
        <v>030574</v>
      </c>
      <c r="C387" t="s">
        <v>258</v>
      </c>
      <c r="D387" s="3">
        <v>60</v>
      </c>
      <c r="E387" t="s">
        <v>288</v>
      </c>
    </row>
    <row r="388" spans="1:5" x14ac:dyDescent="0.25">
      <c r="A388" s="2">
        <v>20181212</v>
      </c>
      <c r="B388" t="str">
        <f>"030575"</f>
        <v>030575</v>
      </c>
      <c r="C388" t="s">
        <v>163</v>
      </c>
      <c r="D388" s="3">
        <v>204.96</v>
      </c>
      <c r="E388" t="s">
        <v>164</v>
      </c>
    </row>
    <row r="389" spans="1:5" x14ac:dyDescent="0.25">
      <c r="A389" s="2">
        <v>20181212</v>
      </c>
      <c r="B389" t="str">
        <f>"030576"</f>
        <v>030576</v>
      </c>
      <c r="C389" t="s">
        <v>289</v>
      </c>
      <c r="D389" s="3">
        <v>96</v>
      </c>
      <c r="E389" t="s">
        <v>271</v>
      </c>
    </row>
    <row r="390" spans="1:5" x14ac:dyDescent="0.25">
      <c r="A390" s="2">
        <v>20181212</v>
      </c>
      <c r="B390" t="str">
        <f>"030576"</f>
        <v>030576</v>
      </c>
      <c r="C390" t="s">
        <v>289</v>
      </c>
      <c r="D390" s="3">
        <v>67.7</v>
      </c>
      <c r="E390" t="s">
        <v>271</v>
      </c>
    </row>
    <row r="391" spans="1:5" x14ac:dyDescent="0.25">
      <c r="A391" s="2">
        <v>20181212</v>
      </c>
      <c r="B391" t="str">
        <f>"030576"</f>
        <v>030576</v>
      </c>
      <c r="C391" t="s">
        <v>289</v>
      </c>
      <c r="D391" s="3">
        <v>100</v>
      </c>
      <c r="E391" t="s">
        <v>270</v>
      </c>
    </row>
    <row r="392" spans="1:5" x14ac:dyDescent="0.25">
      <c r="A392" s="2">
        <v>20181219</v>
      </c>
      <c r="B392" t="str">
        <f>"030580"</f>
        <v>030580</v>
      </c>
      <c r="C392" t="s">
        <v>135</v>
      </c>
      <c r="D392" s="3">
        <v>8933.4599999999991</v>
      </c>
      <c r="E392" t="s">
        <v>136</v>
      </c>
    </row>
    <row r="393" spans="1:5" x14ac:dyDescent="0.25">
      <c r="A393" s="2">
        <v>20181219</v>
      </c>
      <c r="B393" t="str">
        <f>"030581"</f>
        <v>030581</v>
      </c>
      <c r="C393" t="s">
        <v>42</v>
      </c>
      <c r="D393" s="3">
        <v>2913.96</v>
      </c>
      <c r="E393" t="s">
        <v>290</v>
      </c>
    </row>
    <row r="394" spans="1:5" x14ac:dyDescent="0.25">
      <c r="A394" s="2">
        <v>20181219</v>
      </c>
      <c r="B394" t="str">
        <f>"030582"</f>
        <v>030582</v>
      </c>
      <c r="C394" t="s">
        <v>291</v>
      </c>
      <c r="D394" s="3">
        <v>84.5</v>
      </c>
      <c r="E394" t="s">
        <v>292</v>
      </c>
    </row>
    <row r="395" spans="1:5" x14ac:dyDescent="0.25">
      <c r="A395" s="2">
        <v>20181219</v>
      </c>
      <c r="B395" t="str">
        <f>"030583"</f>
        <v>030583</v>
      </c>
      <c r="C395" t="s">
        <v>81</v>
      </c>
      <c r="D395" s="3">
        <v>202.46</v>
      </c>
      <c r="E395" t="s">
        <v>82</v>
      </c>
    </row>
    <row r="396" spans="1:5" x14ac:dyDescent="0.25">
      <c r="A396" s="2">
        <v>20181219</v>
      </c>
      <c r="B396" t="str">
        <f>"030583"</f>
        <v>030583</v>
      </c>
      <c r="C396" t="s">
        <v>81</v>
      </c>
      <c r="D396" s="3">
        <v>213.94</v>
      </c>
      <c r="E396" t="s">
        <v>82</v>
      </c>
    </row>
    <row r="397" spans="1:5" x14ac:dyDescent="0.25">
      <c r="A397" s="2">
        <v>20181219</v>
      </c>
      <c r="B397" t="str">
        <f>"030583"</f>
        <v>030583</v>
      </c>
      <c r="C397" t="s">
        <v>81</v>
      </c>
      <c r="D397" s="3">
        <v>67.489999999999995</v>
      </c>
      <c r="E397" t="s">
        <v>82</v>
      </c>
    </row>
    <row r="398" spans="1:5" x14ac:dyDescent="0.25">
      <c r="A398" s="2">
        <v>20181219</v>
      </c>
      <c r="B398" t="str">
        <f>"030583"</f>
        <v>030583</v>
      </c>
      <c r="C398" t="s">
        <v>81</v>
      </c>
      <c r="D398" s="3">
        <v>67.489999999999995</v>
      </c>
      <c r="E398" t="s">
        <v>82</v>
      </c>
    </row>
    <row r="399" spans="1:5" x14ac:dyDescent="0.25">
      <c r="A399" s="2">
        <v>20181219</v>
      </c>
      <c r="B399" t="str">
        <f t="shared" ref="B399:B406" si="5">"030585"</f>
        <v>030585</v>
      </c>
      <c r="C399" t="s">
        <v>4</v>
      </c>
      <c r="D399" s="3">
        <v>142.88999999999999</v>
      </c>
      <c r="E399" t="s">
        <v>293</v>
      </c>
    </row>
    <row r="400" spans="1:5" x14ac:dyDescent="0.25">
      <c r="A400" s="2">
        <v>20181219</v>
      </c>
      <c r="B400" t="str">
        <f t="shared" si="5"/>
        <v>030585</v>
      </c>
      <c r="C400" t="s">
        <v>4</v>
      </c>
      <c r="D400" s="3">
        <v>138</v>
      </c>
      <c r="E400" t="s">
        <v>294</v>
      </c>
    </row>
    <row r="401" spans="1:5" x14ac:dyDescent="0.25">
      <c r="A401" s="2">
        <v>20181219</v>
      </c>
      <c r="B401" t="str">
        <f t="shared" si="5"/>
        <v>030585</v>
      </c>
      <c r="C401" t="s">
        <v>4</v>
      </c>
      <c r="D401" s="3">
        <v>24.79</v>
      </c>
      <c r="E401" t="s">
        <v>295</v>
      </c>
    </row>
    <row r="402" spans="1:5" x14ac:dyDescent="0.25">
      <c r="A402" s="2">
        <v>20181219</v>
      </c>
      <c r="B402" t="str">
        <f t="shared" si="5"/>
        <v>030585</v>
      </c>
      <c r="C402" t="s">
        <v>4</v>
      </c>
      <c r="D402" s="3">
        <v>23.82</v>
      </c>
      <c r="E402" t="s">
        <v>295</v>
      </c>
    </row>
    <row r="403" spans="1:5" x14ac:dyDescent="0.25">
      <c r="A403" s="2">
        <v>20181219</v>
      </c>
      <c r="B403" t="str">
        <f t="shared" si="5"/>
        <v>030585</v>
      </c>
      <c r="C403" t="s">
        <v>4</v>
      </c>
      <c r="D403" s="3">
        <v>115</v>
      </c>
      <c r="E403" t="s">
        <v>296</v>
      </c>
    </row>
    <row r="404" spans="1:5" x14ac:dyDescent="0.25">
      <c r="A404" s="2">
        <v>20181219</v>
      </c>
      <c r="B404" t="str">
        <f t="shared" si="5"/>
        <v>030585</v>
      </c>
      <c r="C404" t="s">
        <v>4</v>
      </c>
      <c r="D404" s="3">
        <v>14.03</v>
      </c>
      <c r="E404" t="s">
        <v>297</v>
      </c>
    </row>
    <row r="405" spans="1:5" x14ac:dyDescent="0.25">
      <c r="A405" s="2">
        <v>20181219</v>
      </c>
      <c r="B405" t="str">
        <f t="shared" si="5"/>
        <v>030585</v>
      </c>
      <c r="C405" t="s">
        <v>4</v>
      </c>
      <c r="D405" s="3">
        <v>405</v>
      </c>
      <c r="E405" t="s">
        <v>298</v>
      </c>
    </row>
    <row r="406" spans="1:5" x14ac:dyDescent="0.25">
      <c r="A406" s="2">
        <v>20181219</v>
      </c>
      <c r="B406" t="str">
        <f t="shared" si="5"/>
        <v>030585</v>
      </c>
      <c r="C406" t="s">
        <v>4</v>
      </c>
      <c r="D406" s="3">
        <v>140.61000000000001</v>
      </c>
      <c r="E406" t="s">
        <v>299</v>
      </c>
    </row>
    <row r="407" spans="1:5" x14ac:dyDescent="0.25">
      <c r="A407" s="2">
        <v>20181219</v>
      </c>
      <c r="B407" t="str">
        <f>"030586"</f>
        <v>030586</v>
      </c>
      <c r="C407" t="s">
        <v>53</v>
      </c>
      <c r="D407" s="3">
        <v>287.56</v>
      </c>
      <c r="E407" t="s">
        <v>300</v>
      </c>
    </row>
    <row r="408" spans="1:5" x14ac:dyDescent="0.25">
      <c r="A408" s="2">
        <v>20181219</v>
      </c>
      <c r="B408" t="str">
        <f>"030587"</f>
        <v>030587</v>
      </c>
      <c r="C408" t="s">
        <v>11</v>
      </c>
      <c r="D408" s="3">
        <v>25</v>
      </c>
      <c r="E408" t="s">
        <v>301</v>
      </c>
    </row>
    <row r="409" spans="1:5" x14ac:dyDescent="0.25">
      <c r="A409" s="2">
        <v>20181219</v>
      </c>
      <c r="B409" t="str">
        <f>"030587"</f>
        <v>030587</v>
      </c>
      <c r="C409" t="s">
        <v>11</v>
      </c>
      <c r="D409" s="3">
        <v>44.47</v>
      </c>
      <c r="E409" t="s">
        <v>302</v>
      </c>
    </row>
    <row r="410" spans="1:5" x14ac:dyDescent="0.25">
      <c r="A410" s="2">
        <v>20181219</v>
      </c>
      <c r="B410" t="str">
        <f>"030587"</f>
        <v>030587</v>
      </c>
      <c r="C410" t="s">
        <v>11</v>
      </c>
      <c r="D410" s="3">
        <v>25</v>
      </c>
      <c r="E410" t="s">
        <v>301</v>
      </c>
    </row>
    <row r="411" spans="1:5" x14ac:dyDescent="0.25">
      <c r="A411" s="2">
        <v>20181219</v>
      </c>
      <c r="B411" t="str">
        <f>"030588"</f>
        <v>030588</v>
      </c>
      <c r="C411" t="s">
        <v>303</v>
      </c>
      <c r="D411" s="3">
        <v>295</v>
      </c>
      <c r="E411" t="s">
        <v>304</v>
      </c>
    </row>
    <row r="412" spans="1:5" x14ac:dyDescent="0.25">
      <c r="A412" s="2">
        <v>20181219</v>
      </c>
      <c r="B412" t="str">
        <f>"030588"</f>
        <v>030588</v>
      </c>
      <c r="C412" t="s">
        <v>303</v>
      </c>
      <c r="D412" s="3">
        <v>345</v>
      </c>
      <c r="E412" t="s">
        <v>304</v>
      </c>
    </row>
    <row r="413" spans="1:5" x14ac:dyDescent="0.25">
      <c r="A413" s="2">
        <v>20181219</v>
      </c>
      <c r="B413" t="str">
        <f>"030589"</f>
        <v>030589</v>
      </c>
      <c r="C413" t="s">
        <v>62</v>
      </c>
      <c r="D413" s="3">
        <v>975</v>
      </c>
      <c r="E413" t="s">
        <v>305</v>
      </c>
    </row>
    <row r="414" spans="1:5" x14ac:dyDescent="0.25">
      <c r="A414" s="2">
        <v>20181219</v>
      </c>
      <c r="B414" t="str">
        <f>"030589"</f>
        <v>030589</v>
      </c>
      <c r="C414" t="s">
        <v>62</v>
      </c>
      <c r="D414" s="3">
        <v>800</v>
      </c>
      <c r="E414" t="s">
        <v>306</v>
      </c>
    </row>
    <row r="415" spans="1:5" x14ac:dyDescent="0.25">
      <c r="A415" s="2"/>
      <c r="C415" s="11" t="s">
        <v>763</v>
      </c>
      <c r="D415" s="21">
        <f>SUM(D338:D414)</f>
        <v>28909.760000000002</v>
      </c>
    </row>
    <row r="416" spans="1:5" x14ac:dyDescent="0.25">
      <c r="A416" s="2">
        <v>20190110</v>
      </c>
      <c r="B416" t="str">
        <f>"030591"</f>
        <v>030591</v>
      </c>
      <c r="C416" t="s">
        <v>188</v>
      </c>
      <c r="D416" s="3">
        <v>528.65</v>
      </c>
      <c r="E416" t="s">
        <v>189</v>
      </c>
    </row>
    <row r="417" spans="1:5" x14ac:dyDescent="0.25">
      <c r="A417" s="2">
        <v>20190110</v>
      </c>
      <c r="B417" t="str">
        <f>"030592"</f>
        <v>030592</v>
      </c>
      <c r="C417" t="s">
        <v>16</v>
      </c>
      <c r="D417" s="3">
        <v>213.03</v>
      </c>
      <c r="E417" t="s">
        <v>307</v>
      </c>
    </row>
    <row r="418" spans="1:5" x14ac:dyDescent="0.25">
      <c r="A418" s="2">
        <v>20190110</v>
      </c>
      <c r="B418" t="str">
        <f>"030592"</f>
        <v>030592</v>
      </c>
      <c r="C418" t="s">
        <v>16</v>
      </c>
      <c r="D418" s="3">
        <v>213.03</v>
      </c>
      <c r="E418" t="s">
        <v>307</v>
      </c>
    </row>
    <row r="419" spans="1:5" x14ac:dyDescent="0.25">
      <c r="A419" s="2">
        <v>20190110</v>
      </c>
      <c r="B419" t="str">
        <f>"030593"</f>
        <v>030593</v>
      </c>
      <c r="C419" t="s">
        <v>261</v>
      </c>
      <c r="D419" s="3">
        <v>3</v>
      </c>
      <c r="E419" t="s">
        <v>262</v>
      </c>
    </row>
    <row r="420" spans="1:5" x14ac:dyDescent="0.25">
      <c r="A420" s="2">
        <v>20190110</v>
      </c>
      <c r="B420" t="str">
        <f>"030594"</f>
        <v>030594</v>
      </c>
      <c r="C420" t="s">
        <v>308</v>
      </c>
      <c r="D420" s="3">
        <v>96</v>
      </c>
      <c r="E420" t="s">
        <v>309</v>
      </c>
    </row>
    <row r="421" spans="1:5" x14ac:dyDescent="0.25">
      <c r="A421" s="2">
        <v>20190110</v>
      </c>
      <c r="B421" t="str">
        <f>"030595"</f>
        <v>030595</v>
      </c>
      <c r="C421" t="s">
        <v>310</v>
      </c>
      <c r="D421" s="3">
        <v>679.4</v>
      </c>
      <c r="E421" t="s">
        <v>311</v>
      </c>
    </row>
    <row r="422" spans="1:5" x14ac:dyDescent="0.25">
      <c r="A422" s="2">
        <v>20190110</v>
      </c>
      <c r="B422" t="str">
        <f>"030596"</f>
        <v>030596</v>
      </c>
      <c r="C422" t="s">
        <v>38</v>
      </c>
      <c r="D422" s="3">
        <v>127.09</v>
      </c>
      <c r="E422" t="s">
        <v>39</v>
      </c>
    </row>
    <row r="423" spans="1:5" x14ac:dyDescent="0.25">
      <c r="A423" s="2">
        <v>20190110</v>
      </c>
      <c r="B423" t="str">
        <f>"030597"</f>
        <v>030597</v>
      </c>
      <c r="C423" t="s">
        <v>2</v>
      </c>
      <c r="D423" s="3">
        <v>63.51</v>
      </c>
      <c r="E423" t="s">
        <v>312</v>
      </c>
    </row>
    <row r="424" spans="1:5" x14ac:dyDescent="0.25">
      <c r="A424" s="2">
        <v>20190110</v>
      </c>
      <c r="B424" t="str">
        <f>"030597"</f>
        <v>030597</v>
      </c>
      <c r="C424" t="s">
        <v>2</v>
      </c>
      <c r="D424" s="3">
        <v>77.42</v>
      </c>
      <c r="E424" t="s">
        <v>313</v>
      </c>
    </row>
    <row r="425" spans="1:5" x14ac:dyDescent="0.25">
      <c r="A425" s="2">
        <v>20190110</v>
      </c>
      <c r="B425" t="str">
        <f>"030599"</f>
        <v>030599</v>
      </c>
      <c r="C425" t="s">
        <v>147</v>
      </c>
      <c r="D425" s="3">
        <v>262.47000000000003</v>
      </c>
      <c r="E425" t="s">
        <v>148</v>
      </c>
    </row>
    <row r="426" spans="1:5" x14ac:dyDescent="0.25">
      <c r="A426" s="2">
        <v>20190110</v>
      </c>
      <c r="B426" t="str">
        <f>"030600"</f>
        <v>030600</v>
      </c>
      <c r="C426" t="s">
        <v>11</v>
      </c>
      <c r="D426" s="3">
        <v>125</v>
      </c>
      <c r="E426" t="s">
        <v>314</v>
      </c>
    </row>
    <row r="427" spans="1:5" x14ac:dyDescent="0.25">
      <c r="A427" s="2">
        <v>20190110</v>
      </c>
      <c r="B427" t="str">
        <f>"030601"</f>
        <v>030601</v>
      </c>
      <c r="C427" t="s">
        <v>315</v>
      </c>
      <c r="D427" s="3">
        <v>617.72</v>
      </c>
      <c r="E427" t="s">
        <v>316</v>
      </c>
    </row>
    <row r="428" spans="1:5" x14ac:dyDescent="0.25">
      <c r="A428" s="2">
        <v>20190110</v>
      </c>
      <c r="B428" t="str">
        <f>"030602"</f>
        <v>030602</v>
      </c>
      <c r="C428" t="s">
        <v>258</v>
      </c>
      <c r="D428" s="3">
        <v>108</v>
      </c>
      <c r="E428" t="s">
        <v>317</v>
      </c>
    </row>
    <row r="429" spans="1:5" x14ac:dyDescent="0.25">
      <c r="A429" s="2">
        <v>20190110</v>
      </c>
      <c r="B429" t="str">
        <f>"030603"</f>
        <v>030603</v>
      </c>
      <c r="C429" t="s">
        <v>125</v>
      </c>
      <c r="D429" s="3">
        <v>1295.3699999999999</v>
      </c>
      <c r="E429" t="s">
        <v>227</v>
      </c>
    </row>
    <row r="430" spans="1:5" x14ac:dyDescent="0.25">
      <c r="A430" s="2">
        <v>20190110</v>
      </c>
      <c r="B430" t="str">
        <f>"030603"</f>
        <v>030603</v>
      </c>
      <c r="C430" t="s">
        <v>125</v>
      </c>
      <c r="D430" s="3">
        <v>367.23</v>
      </c>
      <c r="E430" t="s">
        <v>227</v>
      </c>
    </row>
    <row r="431" spans="1:5" x14ac:dyDescent="0.25">
      <c r="A431" s="2">
        <v>20190110</v>
      </c>
      <c r="B431" t="str">
        <f>"030603"</f>
        <v>030603</v>
      </c>
      <c r="C431" t="s">
        <v>125</v>
      </c>
      <c r="D431" s="3">
        <v>832.5</v>
      </c>
      <c r="E431" t="s">
        <v>227</v>
      </c>
    </row>
    <row r="432" spans="1:5" x14ac:dyDescent="0.25">
      <c r="A432" s="2">
        <v>20190110</v>
      </c>
      <c r="B432" t="str">
        <f>"030603"</f>
        <v>030603</v>
      </c>
      <c r="C432" t="s">
        <v>125</v>
      </c>
      <c r="D432" s="3">
        <v>1572.69</v>
      </c>
      <c r="E432" t="s">
        <v>227</v>
      </c>
    </row>
    <row r="433" spans="1:5" x14ac:dyDescent="0.25">
      <c r="A433" s="2">
        <v>20190116</v>
      </c>
      <c r="B433" t="str">
        <f>"030606"</f>
        <v>030606</v>
      </c>
      <c r="C433" t="s">
        <v>318</v>
      </c>
      <c r="D433" s="3">
        <v>80.52</v>
      </c>
      <c r="E433" t="s">
        <v>271</v>
      </c>
    </row>
    <row r="434" spans="1:5" x14ac:dyDescent="0.25">
      <c r="A434" s="2">
        <v>20190116</v>
      </c>
      <c r="B434" t="str">
        <f>"030607"</f>
        <v>030607</v>
      </c>
      <c r="C434" t="s">
        <v>129</v>
      </c>
      <c r="D434" s="3">
        <v>112.43</v>
      </c>
      <c r="E434" t="s">
        <v>130</v>
      </c>
    </row>
    <row r="435" spans="1:5" x14ac:dyDescent="0.25">
      <c r="A435" s="2">
        <v>20190116</v>
      </c>
      <c r="B435" t="str">
        <f>"030608"</f>
        <v>030608</v>
      </c>
      <c r="C435" t="s">
        <v>40</v>
      </c>
      <c r="D435" s="3">
        <v>559.87</v>
      </c>
      <c r="E435" t="s">
        <v>41</v>
      </c>
    </row>
    <row r="436" spans="1:5" x14ac:dyDescent="0.25">
      <c r="A436" s="2">
        <v>20190116</v>
      </c>
      <c r="B436" t="str">
        <f>"030609"</f>
        <v>030609</v>
      </c>
      <c r="C436" t="s">
        <v>319</v>
      </c>
      <c r="D436" s="3">
        <v>1300</v>
      </c>
      <c r="E436" t="s">
        <v>320</v>
      </c>
    </row>
    <row r="437" spans="1:5" x14ac:dyDescent="0.25">
      <c r="A437" s="2">
        <v>20190116</v>
      </c>
      <c r="B437" t="str">
        <f>"030610"</f>
        <v>030610</v>
      </c>
      <c r="C437" t="s">
        <v>140</v>
      </c>
      <c r="D437" s="3">
        <v>891.1</v>
      </c>
      <c r="E437" t="s">
        <v>321</v>
      </c>
    </row>
    <row r="438" spans="1:5" x14ac:dyDescent="0.25">
      <c r="A438" s="2">
        <v>20190116</v>
      </c>
      <c r="B438" t="str">
        <f>"030611"</f>
        <v>030611</v>
      </c>
      <c r="C438" t="s">
        <v>277</v>
      </c>
      <c r="D438" s="3">
        <v>5</v>
      </c>
      <c r="E438" t="s">
        <v>278</v>
      </c>
    </row>
    <row r="439" spans="1:5" x14ac:dyDescent="0.25">
      <c r="A439" s="2">
        <v>20190116</v>
      </c>
      <c r="B439" t="str">
        <f>"030611"</f>
        <v>030611</v>
      </c>
      <c r="C439" t="s">
        <v>277</v>
      </c>
      <c r="D439" s="3">
        <v>5</v>
      </c>
      <c r="E439" t="s">
        <v>278</v>
      </c>
    </row>
    <row r="440" spans="1:5" x14ac:dyDescent="0.25">
      <c r="A440" s="2">
        <v>20190116</v>
      </c>
      <c r="B440" t="str">
        <f>"030611"</f>
        <v>030611</v>
      </c>
      <c r="C440" t="s">
        <v>277</v>
      </c>
      <c r="D440" s="3">
        <v>5</v>
      </c>
      <c r="E440" t="s">
        <v>278</v>
      </c>
    </row>
    <row r="441" spans="1:5" x14ac:dyDescent="0.25">
      <c r="A441" s="2">
        <v>20190116</v>
      </c>
      <c r="B441" t="str">
        <f>"030613"</f>
        <v>030613</v>
      </c>
      <c r="C441" t="s">
        <v>4</v>
      </c>
      <c r="D441" s="3">
        <v>180.36</v>
      </c>
      <c r="E441" t="s">
        <v>322</v>
      </c>
    </row>
    <row r="442" spans="1:5" x14ac:dyDescent="0.25">
      <c r="A442" s="2">
        <v>20190116</v>
      </c>
      <c r="B442" t="str">
        <f>"030613"</f>
        <v>030613</v>
      </c>
      <c r="C442" t="s">
        <v>4</v>
      </c>
      <c r="D442" s="3">
        <v>246.62</v>
      </c>
      <c r="E442" t="s">
        <v>322</v>
      </c>
    </row>
    <row r="443" spans="1:5" x14ac:dyDescent="0.25">
      <c r="A443" s="2">
        <v>20190116</v>
      </c>
      <c r="B443" t="str">
        <f>"030613"</f>
        <v>030613</v>
      </c>
      <c r="C443" t="s">
        <v>4</v>
      </c>
      <c r="D443" s="3">
        <v>158.58000000000001</v>
      </c>
      <c r="E443" t="s">
        <v>322</v>
      </c>
    </row>
    <row r="444" spans="1:5" x14ac:dyDescent="0.25">
      <c r="A444" s="2">
        <v>20190116</v>
      </c>
      <c r="B444" t="str">
        <f>"030613"</f>
        <v>030613</v>
      </c>
      <c r="C444" t="s">
        <v>4</v>
      </c>
      <c r="D444" s="3">
        <v>161.96</v>
      </c>
      <c r="E444" t="s">
        <v>323</v>
      </c>
    </row>
    <row r="445" spans="1:5" x14ac:dyDescent="0.25">
      <c r="A445" s="2">
        <v>20190116</v>
      </c>
      <c r="B445" t="str">
        <f>"030614"</f>
        <v>030614</v>
      </c>
      <c r="C445" t="s">
        <v>324</v>
      </c>
      <c r="D445" s="3">
        <v>248</v>
      </c>
      <c r="E445" t="s">
        <v>325</v>
      </c>
    </row>
    <row r="446" spans="1:5" x14ac:dyDescent="0.25">
      <c r="A446" s="2">
        <v>20190116</v>
      </c>
      <c r="B446" t="str">
        <f>"030615"</f>
        <v>030615</v>
      </c>
      <c r="C446" t="s">
        <v>326</v>
      </c>
      <c r="D446" s="3">
        <v>37.299999999999997</v>
      </c>
      <c r="E446" t="s">
        <v>327</v>
      </c>
    </row>
    <row r="447" spans="1:5" x14ac:dyDescent="0.25">
      <c r="A447" s="2">
        <v>20190116</v>
      </c>
      <c r="B447" t="str">
        <f>"030616"</f>
        <v>030616</v>
      </c>
      <c r="C447" t="s">
        <v>163</v>
      </c>
      <c r="D447" s="3">
        <v>201.3</v>
      </c>
      <c r="E447" t="s">
        <v>164</v>
      </c>
    </row>
    <row r="448" spans="1:5" x14ac:dyDescent="0.25">
      <c r="A448" s="2">
        <v>20190116</v>
      </c>
      <c r="B448" t="str">
        <f>"030617"</f>
        <v>030617</v>
      </c>
      <c r="C448" t="s">
        <v>183</v>
      </c>
      <c r="D448" s="3">
        <v>580.83000000000004</v>
      </c>
      <c r="E448" t="s">
        <v>328</v>
      </c>
    </row>
    <row r="449" spans="1:5" x14ac:dyDescent="0.25">
      <c r="A449" s="2">
        <v>20190116</v>
      </c>
      <c r="B449" t="str">
        <f>"030618"</f>
        <v>030618</v>
      </c>
      <c r="C449" t="s">
        <v>123</v>
      </c>
      <c r="D449" s="3">
        <v>50</v>
      </c>
      <c r="E449" t="s">
        <v>329</v>
      </c>
    </row>
    <row r="450" spans="1:5" x14ac:dyDescent="0.25">
      <c r="A450" s="2">
        <v>20190116</v>
      </c>
      <c r="B450" t="str">
        <f>"030619"</f>
        <v>030619</v>
      </c>
      <c r="C450" t="s">
        <v>125</v>
      </c>
      <c r="D450" s="3">
        <v>1942.5</v>
      </c>
      <c r="E450" t="s">
        <v>227</v>
      </c>
    </row>
    <row r="451" spans="1:5" x14ac:dyDescent="0.25">
      <c r="A451" s="2">
        <v>20190124</v>
      </c>
      <c r="B451" t="str">
        <f>"030623"</f>
        <v>030623</v>
      </c>
      <c r="C451" t="s">
        <v>330</v>
      </c>
      <c r="D451" s="3">
        <v>35.549999999999997</v>
      </c>
      <c r="E451" t="s">
        <v>331</v>
      </c>
    </row>
    <row r="452" spans="1:5" x14ac:dyDescent="0.25">
      <c r="A452" s="2">
        <v>20190124</v>
      </c>
      <c r="B452" t="str">
        <f>"030624"</f>
        <v>030624</v>
      </c>
      <c r="C452" t="s">
        <v>127</v>
      </c>
      <c r="D452" s="3">
        <v>52</v>
      </c>
      <c r="E452" t="s">
        <v>332</v>
      </c>
    </row>
    <row r="453" spans="1:5" x14ac:dyDescent="0.25">
      <c r="A453" s="2">
        <v>20190124</v>
      </c>
      <c r="B453" t="str">
        <f>"030625"</f>
        <v>030625</v>
      </c>
      <c r="C453" t="s">
        <v>81</v>
      </c>
      <c r="D453" s="3">
        <v>202.46</v>
      </c>
      <c r="E453" t="s">
        <v>82</v>
      </c>
    </row>
    <row r="454" spans="1:5" x14ac:dyDescent="0.25">
      <c r="A454" s="2">
        <v>20190124</v>
      </c>
      <c r="B454" t="str">
        <f>"030625"</f>
        <v>030625</v>
      </c>
      <c r="C454" t="s">
        <v>81</v>
      </c>
      <c r="D454" s="3">
        <v>213.94</v>
      </c>
      <c r="E454" t="s">
        <v>82</v>
      </c>
    </row>
    <row r="455" spans="1:5" x14ac:dyDescent="0.25">
      <c r="A455" s="2">
        <v>20190124</v>
      </c>
      <c r="B455" t="str">
        <f>"030625"</f>
        <v>030625</v>
      </c>
      <c r="C455" t="s">
        <v>81</v>
      </c>
      <c r="D455" s="3">
        <v>67.489999999999995</v>
      </c>
      <c r="E455" t="s">
        <v>82</v>
      </c>
    </row>
    <row r="456" spans="1:5" x14ac:dyDescent="0.25">
      <c r="A456" s="2">
        <v>20190124</v>
      </c>
      <c r="B456" t="str">
        <f>"030625"</f>
        <v>030625</v>
      </c>
      <c r="C456" t="s">
        <v>81</v>
      </c>
      <c r="D456" s="3">
        <v>67.489999999999995</v>
      </c>
      <c r="E456" t="s">
        <v>82</v>
      </c>
    </row>
    <row r="457" spans="1:5" x14ac:dyDescent="0.25">
      <c r="A457" s="2">
        <v>20190124</v>
      </c>
      <c r="B457" t="str">
        <f>"030626"</f>
        <v>030626</v>
      </c>
      <c r="C457" t="s">
        <v>333</v>
      </c>
      <c r="D457" s="3">
        <v>150.4</v>
      </c>
      <c r="E457" t="s">
        <v>271</v>
      </c>
    </row>
    <row r="458" spans="1:5" x14ac:dyDescent="0.25">
      <c r="A458" s="2">
        <v>20190124</v>
      </c>
      <c r="B458" t="str">
        <f>"030627"</f>
        <v>030627</v>
      </c>
      <c r="C458" t="s">
        <v>142</v>
      </c>
      <c r="D458" s="3">
        <v>40</v>
      </c>
      <c r="E458" t="s">
        <v>334</v>
      </c>
    </row>
    <row r="459" spans="1:5" x14ac:dyDescent="0.25">
      <c r="A459" s="2">
        <v>20190124</v>
      </c>
      <c r="B459" t="str">
        <f>"030628"</f>
        <v>030628</v>
      </c>
      <c r="C459" t="s">
        <v>335</v>
      </c>
      <c r="D459" s="3">
        <v>75</v>
      </c>
      <c r="E459" t="s">
        <v>336</v>
      </c>
    </row>
    <row r="460" spans="1:5" x14ac:dyDescent="0.25">
      <c r="A460" s="2">
        <v>20190124</v>
      </c>
      <c r="B460" t="str">
        <f>"030630"</f>
        <v>030630</v>
      </c>
      <c r="C460" t="s">
        <v>279</v>
      </c>
      <c r="D460" s="3">
        <v>100</v>
      </c>
      <c r="E460" t="s">
        <v>271</v>
      </c>
    </row>
    <row r="461" spans="1:5" x14ac:dyDescent="0.25">
      <c r="A461" s="2">
        <v>20190124</v>
      </c>
      <c r="B461" t="str">
        <f>"030633"</f>
        <v>030633</v>
      </c>
      <c r="C461" t="s">
        <v>337</v>
      </c>
      <c r="D461" s="3">
        <v>250</v>
      </c>
      <c r="E461" t="s">
        <v>338</v>
      </c>
    </row>
    <row r="462" spans="1:5" x14ac:dyDescent="0.25">
      <c r="A462" s="2">
        <v>20190128</v>
      </c>
      <c r="B462" t="str">
        <f>"030634"</f>
        <v>030634</v>
      </c>
      <c r="C462" t="s">
        <v>55</v>
      </c>
      <c r="D462" s="3">
        <v>13.28</v>
      </c>
      <c r="E462" t="s">
        <v>215</v>
      </c>
    </row>
    <row r="463" spans="1:5" x14ac:dyDescent="0.25">
      <c r="A463" s="2">
        <v>20190128</v>
      </c>
      <c r="B463" t="str">
        <f>"030634"</f>
        <v>030634</v>
      </c>
      <c r="C463" t="s">
        <v>55</v>
      </c>
      <c r="D463" s="3">
        <v>92.96</v>
      </c>
      <c r="E463" t="s">
        <v>215</v>
      </c>
    </row>
    <row r="464" spans="1:5" x14ac:dyDescent="0.25">
      <c r="A464" s="2">
        <v>20190128</v>
      </c>
      <c r="B464" t="str">
        <f>"030634"</f>
        <v>030634</v>
      </c>
      <c r="C464" t="s">
        <v>55</v>
      </c>
      <c r="D464" s="3">
        <v>62.93</v>
      </c>
      <c r="E464" t="s">
        <v>215</v>
      </c>
    </row>
    <row r="465" spans="1:5" x14ac:dyDescent="0.25">
      <c r="A465" s="2">
        <v>20190128</v>
      </c>
      <c r="B465" t="str">
        <f>"030636"</f>
        <v>030636</v>
      </c>
      <c r="C465" t="s">
        <v>339</v>
      </c>
      <c r="D465" s="3">
        <v>17556.64</v>
      </c>
      <c r="E465" t="s">
        <v>340</v>
      </c>
    </row>
    <row r="466" spans="1:5" x14ac:dyDescent="0.25">
      <c r="A466" s="2">
        <v>20190128</v>
      </c>
      <c r="B466" t="str">
        <f>"030637"</f>
        <v>030637</v>
      </c>
      <c r="C466" t="s">
        <v>53</v>
      </c>
      <c r="D466" s="3">
        <v>45.49</v>
      </c>
      <c r="E466" t="s">
        <v>149</v>
      </c>
    </row>
    <row r="467" spans="1:5" x14ac:dyDescent="0.25">
      <c r="A467" s="2">
        <v>20190128</v>
      </c>
      <c r="B467" t="str">
        <f>"030638"</f>
        <v>030638</v>
      </c>
      <c r="C467" t="s">
        <v>261</v>
      </c>
      <c r="D467" s="3">
        <v>3</v>
      </c>
      <c r="E467" t="s">
        <v>262</v>
      </c>
    </row>
    <row r="468" spans="1:5" x14ac:dyDescent="0.25">
      <c r="A468" s="2">
        <v>20190128</v>
      </c>
      <c r="B468" t="str">
        <f>"030639"</f>
        <v>030639</v>
      </c>
      <c r="C468" t="s">
        <v>106</v>
      </c>
      <c r="D468" s="3">
        <v>159.6</v>
      </c>
      <c r="E468" t="s">
        <v>341</v>
      </c>
    </row>
    <row r="469" spans="1:5" x14ac:dyDescent="0.25">
      <c r="A469" s="2">
        <v>20190128</v>
      </c>
      <c r="B469" t="str">
        <f>"030640"</f>
        <v>030640</v>
      </c>
      <c r="C469" t="s">
        <v>127</v>
      </c>
      <c r="D469" s="3">
        <v>91</v>
      </c>
      <c r="E469" t="s">
        <v>342</v>
      </c>
    </row>
    <row r="470" spans="1:5" x14ac:dyDescent="0.25">
      <c r="A470" s="2">
        <v>20190129</v>
      </c>
      <c r="B470" t="str">
        <f>"030644"</f>
        <v>030644</v>
      </c>
      <c r="C470" t="s">
        <v>233</v>
      </c>
      <c r="D470" s="3">
        <v>36.979999999999997</v>
      </c>
      <c r="E470" t="s">
        <v>343</v>
      </c>
    </row>
    <row r="471" spans="1:5" x14ac:dyDescent="0.25">
      <c r="A471" s="2">
        <v>20190129</v>
      </c>
      <c r="B471" t="str">
        <f t="shared" ref="B471:B481" si="6">"030645"</f>
        <v>030645</v>
      </c>
      <c r="C471" t="s">
        <v>11</v>
      </c>
      <c r="D471" s="3">
        <v>324</v>
      </c>
      <c r="E471" t="s">
        <v>344</v>
      </c>
    </row>
    <row r="472" spans="1:5" x14ac:dyDescent="0.25">
      <c r="A472" s="2">
        <v>20190129</v>
      </c>
      <c r="B472" t="str">
        <f t="shared" si="6"/>
        <v>030645</v>
      </c>
      <c r="C472" t="s">
        <v>11</v>
      </c>
      <c r="D472" s="3">
        <v>2490.9499999999998</v>
      </c>
      <c r="E472" t="s">
        <v>345</v>
      </c>
    </row>
    <row r="473" spans="1:5" x14ac:dyDescent="0.25">
      <c r="A473" s="2">
        <v>20190129</v>
      </c>
      <c r="B473" t="str">
        <f t="shared" si="6"/>
        <v>030645</v>
      </c>
      <c r="C473" t="s">
        <v>11</v>
      </c>
      <c r="D473" s="3">
        <v>176.4</v>
      </c>
      <c r="E473" t="s">
        <v>345</v>
      </c>
    </row>
    <row r="474" spans="1:5" x14ac:dyDescent="0.25">
      <c r="A474" s="2">
        <v>20190129</v>
      </c>
      <c r="B474" t="str">
        <f t="shared" si="6"/>
        <v>030645</v>
      </c>
      <c r="C474" t="s">
        <v>11</v>
      </c>
      <c r="D474" s="3">
        <v>800</v>
      </c>
      <c r="E474" t="s">
        <v>346</v>
      </c>
    </row>
    <row r="475" spans="1:5" x14ac:dyDescent="0.25">
      <c r="A475" s="2">
        <v>20190129</v>
      </c>
      <c r="B475" t="str">
        <f t="shared" si="6"/>
        <v>030645</v>
      </c>
      <c r="C475" t="s">
        <v>11</v>
      </c>
      <c r="D475" s="3">
        <v>5013</v>
      </c>
      <c r="E475" t="s">
        <v>347</v>
      </c>
    </row>
    <row r="476" spans="1:5" x14ac:dyDescent="0.25">
      <c r="A476" s="2">
        <v>20190129</v>
      </c>
      <c r="B476" t="str">
        <f t="shared" si="6"/>
        <v>030645</v>
      </c>
      <c r="C476" t="s">
        <v>11</v>
      </c>
      <c r="D476" s="3">
        <v>700</v>
      </c>
      <c r="E476" t="s">
        <v>348</v>
      </c>
    </row>
    <row r="477" spans="1:5" x14ac:dyDescent="0.25">
      <c r="A477" s="2">
        <v>20190129</v>
      </c>
      <c r="B477" t="str">
        <f t="shared" si="6"/>
        <v>030645</v>
      </c>
      <c r="C477" t="s">
        <v>11</v>
      </c>
      <c r="D477" s="3">
        <v>64</v>
      </c>
      <c r="E477" t="s">
        <v>345</v>
      </c>
    </row>
    <row r="478" spans="1:5" x14ac:dyDescent="0.25">
      <c r="A478" s="2">
        <v>20190129</v>
      </c>
      <c r="B478" t="str">
        <f t="shared" si="6"/>
        <v>030645</v>
      </c>
      <c r="C478" t="s">
        <v>11</v>
      </c>
      <c r="D478" s="3">
        <v>400</v>
      </c>
      <c r="E478" t="s">
        <v>349</v>
      </c>
    </row>
    <row r="479" spans="1:5" x14ac:dyDescent="0.25">
      <c r="A479" s="2">
        <v>20190129</v>
      </c>
      <c r="B479" t="str">
        <f t="shared" si="6"/>
        <v>030645</v>
      </c>
      <c r="C479" t="s">
        <v>11</v>
      </c>
      <c r="D479" s="3">
        <v>871.53</v>
      </c>
      <c r="E479" t="s">
        <v>345</v>
      </c>
    </row>
    <row r="480" spans="1:5" x14ac:dyDescent="0.25">
      <c r="A480" s="2">
        <v>20190129</v>
      </c>
      <c r="B480" t="str">
        <f t="shared" si="6"/>
        <v>030645</v>
      </c>
      <c r="C480" t="s">
        <v>11</v>
      </c>
      <c r="D480" s="3">
        <v>1150</v>
      </c>
      <c r="E480" t="s">
        <v>350</v>
      </c>
    </row>
    <row r="481" spans="1:5" x14ac:dyDescent="0.25">
      <c r="A481" s="2">
        <v>20190129</v>
      </c>
      <c r="B481" t="str">
        <f t="shared" si="6"/>
        <v>030645</v>
      </c>
      <c r="C481" t="s">
        <v>11</v>
      </c>
      <c r="D481" s="3">
        <v>1100</v>
      </c>
      <c r="E481" t="s">
        <v>345</v>
      </c>
    </row>
    <row r="482" spans="1:5" x14ac:dyDescent="0.25">
      <c r="A482" s="2">
        <v>20190129</v>
      </c>
      <c r="B482" t="str">
        <f>"030646"</f>
        <v>030646</v>
      </c>
      <c r="C482" t="s">
        <v>252</v>
      </c>
      <c r="D482" s="3">
        <v>51.42</v>
      </c>
      <c r="E482" t="s">
        <v>253</v>
      </c>
    </row>
    <row r="483" spans="1:5" x14ac:dyDescent="0.25">
      <c r="A483" s="2">
        <v>20190129</v>
      </c>
      <c r="B483" t="str">
        <f>"030647"</f>
        <v>030647</v>
      </c>
      <c r="C483" t="s">
        <v>269</v>
      </c>
      <c r="D483" s="3">
        <v>95.34</v>
      </c>
      <c r="E483" t="s">
        <v>271</v>
      </c>
    </row>
    <row r="484" spans="1:5" x14ac:dyDescent="0.25">
      <c r="A484" s="2">
        <v>20190129</v>
      </c>
      <c r="B484" t="str">
        <f>"030648"</f>
        <v>030648</v>
      </c>
      <c r="C484" t="s">
        <v>351</v>
      </c>
      <c r="D484" s="3">
        <v>250</v>
      </c>
      <c r="E484" t="s">
        <v>338</v>
      </c>
    </row>
    <row r="485" spans="1:5" x14ac:dyDescent="0.25">
      <c r="A485" s="2">
        <v>20190129</v>
      </c>
      <c r="B485" t="str">
        <f>"030649"</f>
        <v>030649</v>
      </c>
      <c r="C485" t="s">
        <v>352</v>
      </c>
      <c r="D485" s="3">
        <v>380</v>
      </c>
      <c r="E485" t="s">
        <v>353</v>
      </c>
    </row>
    <row r="486" spans="1:5" x14ac:dyDescent="0.25">
      <c r="A486" s="2">
        <v>20190129</v>
      </c>
      <c r="B486" t="str">
        <f>"030650"</f>
        <v>030650</v>
      </c>
      <c r="C486" t="s">
        <v>354</v>
      </c>
      <c r="D486" s="3">
        <v>273.52999999999997</v>
      </c>
      <c r="E486" t="s">
        <v>355</v>
      </c>
    </row>
    <row r="487" spans="1:5" x14ac:dyDescent="0.25">
      <c r="A487" s="2">
        <v>20190129</v>
      </c>
      <c r="B487" t="str">
        <f>"030651"</f>
        <v>030651</v>
      </c>
      <c r="C487" t="s">
        <v>356</v>
      </c>
      <c r="D487" s="3">
        <v>159.93</v>
      </c>
      <c r="E487" t="s">
        <v>271</v>
      </c>
    </row>
    <row r="488" spans="1:5" x14ac:dyDescent="0.25">
      <c r="A488" s="2"/>
      <c r="C488" s="11" t="s">
        <v>750</v>
      </c>
      <c r="D488" s="21">
        <f>SUM(D416:D487)</f>
        <v>47564.789999999986</v>
      </c>
    </row>
    <row r="489" spans="1:5" x14ac:dyDescent="0.25">
      <c r="A489" s="2">
        <v>20190208</v>
      </c>
      <c r="B489" t="str">
        <f>"030655"</f>
        <v>030655</v>
      </c>
      <c r="C489" t="s">
        <v>308</v>
      </c>
      <c r="D489" s="3">
        <v>252</v>
      </c>
      <c r="E489" t="s">
        <v>357</v>
      </c>
    </row>
    <row r="490" spans="1:5" x14ac:dyDescent="0.25">
      <c r="A490" s="2">
        <v>20190208</v>
      </c>
      <c r="B490" t="str">
        <f>"030655"</f>
        <v>030655</v>
      </c>
      <c r="C490" t="s">
        <v>308</v>
      </c>
      <c r="D490" s="3">
        <v>96</v>
      </c>
      <c r="E490" t="s">
        <v>358</v>
      </c>
    </row>
    <row r="491" spans="1:5" x14ac:dyDescent="0.25">
      <c r="A491" s="2">
        <v>20190208</v>
      </c>
      <c r="B491" t="str">
        <f>"030656"</f>
        <v>030656</v>
      </c>
      <c r="C491" t="s">
        <v>359</v>
      </c>
      <c r="D491" s="3">
        <v>89.17</v>
      </c>
      <c r="E491" t="s">
        <v>360</v>
      </c>
    </row>
    <row r="492" spans="1:5" x14ac:dyDescent="0.25">
      <c r="A492" s="2">
        <v>20190208</v>
      </c>
      <c r="B492" t="str">
        <f>"030657"</f>
        <v>030657</v>
      </c>
      <c r="C492" t="s">
        <v>318</v>
      </c>
      <c r="D492" s="3">
        <v>99.43</v>
      </c>
      <c r="E492" t="s">
        <v>271</v>
      </c>
    </row>
    <row r="493" spans="1:5" x14ac:dyDescent="0.25">
      <c r="A493" s="2">
        <v>20190208</v>
      </c>
      <c r="B493" t="str">
        <f>"030658"</f>
        <v>030658</v>
      </c>
      <c r="C493" t="s">
        <v>129</v>
      </c>
      <c r="D493" s="3">
        <v>114.05</v>
      </c>
      <c r="E493" t="s">
        <v>130</v>
      </c>
    </row>
    <row r="494" spans="1:5" x14ac:dyDescent="0.25">
      <c r="A494" s="2">
        <v>20190208</v>
      </c>
      <c r="B494" t="str">
        <f>"030659"</f>
        <v>030659</v>
      </c>
      <c r="C494" t="s">
        <v>75</v>
      </c>
      <c r="D494" s="3">
        <v>55</v>
      </c>
      <c r="E494" t="s">
        <v>361</v>
      </c>
    </row>
    <row r="495" spans="1:5" x14ac:dyDescent="0.25">
      <c r="A495" s="2">
        <v>20190208</v>
      </c>
      <c r="B495" t="str">
        <f>"030660"</f>
        <v>030660</v>
      </c>
      <c r="C495" t="s">
        <v>362</v>
      </c>
      <c r="D495" s="3">
        <v>51.96</v>
      </c>
      <c r="E495" t="s">
        <v>363</v>
      </c>
    </row>
    <row r="496" spans="1:5" x14ac:dyDescent="0.25">
      <c r="A496" s="2">
        <v>20190208</v>
      </c>
      <c r="B496" t="str">
        <f>"030661"</f>
        <v>030661</v>
      </c>
      <c r="C496" t="s">
        <v>40</v>
      </c>
      <c r="D496" s="3">
        <v>559.87</v>
      </c>
      <c r="E496" t="s">
        <v>41</v>
      </c>
    </row>
    <row r="497" spans="1:5" x14ac:dyDescent="0.25">
      <c r="A497" s="2">
        <v>20190208</v>
      </c>
      <c r="B497" t="str">
        <f>"030662"</f>
        <v>030662</v>
      </c>
      <c r="C497" t="s">
        <v>77</v>
      </c>
      <c r="D497" s="3">
        <v>705</v>
      </c>
      <c r="E497" t="s">
        <v>364</v>
      </c>
    </row>
    <row r="498" spans="1:5" x14ac:dyDescent="0.25">
      <c r="A498" s="2">
        <v>20190208</v>
      </c>
      <c r="B498" t="str">
        <f>"030663"</f>
        <v>030663</v>
      </c>
      <c r="C498" t="s">
        <v>44</v>
      </c>
      <c r="D498" s="3">
        <v>7.5</v>
      </c>
      <c r="E498" t="s">
        <v>365</v>
      </c>
    </row>
    <row r="499" spans="1:5" x14ac:dyDescent="0.25">
      <c r="A499" s="2">
        <v>20190208</v>
      </c>
      <c r="B499" t="str">
        <f>"030664"</f>
        <v>030664</v>
      </c>
      <c r="C499" t="s">
        <v>291</v>
      </c>
      <c r="D499" s="3">
        <v>84.5</v>
      </c>
      <c r="E499" t="s">
        <v>366</v>
      </c>
    </row>
    <row r="500" spans="1:5" x14ac:dyDescent="0.25">
      <c r="A500" s="2">
        <v>20190208</v>
      </c>
      <c r="B500" t="str">
        <f>"030665"</f>
        <v>030665</v>
      </c>
      <c r="C500" t="s">
        <v>333</v>
      </c>
      <c r="D500" s="3">
        <v>166.25</v>
      </c>
      <c r="E500" t="s">
        <v>271</v>
      </c>
    </row>
    <row r="501" spans="1:5" x14ac:dyDescent="0.25">
      <c r="A501" s="2">
        <v>20190208</v>
      </c>
      <c r="B501" t="str">
        <f>"030666"</f>
        <v>030666</v>
      </c>
      <c r="C501" t="s">
        <v>367</v>
      </c>
      <c r="D501" s="3">
        <v>135.4</v>
      </c>
      <c r="E501" t="s">
        <v>271</v>
      </c>
    </row>
    <row r="502" spans="1:5" x14ac:dyDescent="0.25">
      <c r="A502" s="2">
        <v>20190208</v>
      </c>
      <c r="B502" t="str">
        <f>"030667"</f>
        <v>030667</v>
      </c>
      <c r="C502" t="s">
        <v>138</v>
      </c>
      <c r="D502" s="3">
        <v>2378.79</v>
      </c>
      <c r="E502" t="s">
        <v>139</v>
      </c>
    </row>
    <row r="503" spans="1:5" x14ac:dyDescent="0.25">
      <c r="A503" s="2">
        <v>20190208</v>
      </c>
      <c r="B503" t="str">
        <f>"030668"</f>
        <v>030668</v>
      </c>
      <c r="C503" t="s">
        <v>2</v>
      </c>
      <c r="D503" s="3">
        <v>33.61</v>
      </c>
      <c r="E503" t="s">
        <v>368</v>
      </c>
    </row>
    <row r="504" spans="1:5" x14ac:dyDescent="0.25">
      <c r="A504" s="2">
        <v>20190208</v>
      </c>
      <c r="B504" t="str">
        <f>"030668"</f>
        <v>030668</v>
      </c>
      <c r="C504" t="s">
        <v>2</v>
      </c>
      <c r="D504" s="3">
        <v>62.25</v>
      </c>
      <c r="E504" t="s">
        <v>369</v>
      </c>
    </row>
    <row r="505" spans="1:5" x14ac:dyDescent="0.25">
      <c r="A505" s="2">
        <v>20190208</v>
      </c>
      <c r="B505" t="str">
        <f>"030669"</f>
        <v>030669</v>
      </c>
      <c r="C505" t="s">
        <v>87</v>
      </c>
      <c r="D505" s="3">
        <v>52.8</v>
      </c>
      <c r="E505" t="s">
        <v>370</v>
      </c>
    </row>
    <row r="506" spans="1:5" x14ac:dyDescent="0.25">
      <c r="A506" s="2">
        <v>20190208</v>
      </c>
      <c r="B506" t="str">
        <f>"030670"</f>
        <v>030670</v>
      </c>
      <c r="C506" t="s">
        <v>277</v>
      </c>
      <c r="D506" s="3">
        <v>5</v>
      </c>
      <c r="E506" t="s">
        <v>278</v>
      </c>
    </row>
    <row r="507" spans="1:5" x14ac:dyDescent="0.25">
      <c r="A507" s="2">
        <v>20190208</v>
      </c>
      <c r="B507" t="str">
        <f>"030670"</f>
        <v>030670</v>
      </c>
      <c r="C507" t="s">
        <v>277</v>
      </c>
      <c r="D507" s="3">
        <v>5</v>
      </c>
      <c r="E507" t="s">
        <v>278</v>
      </c>
    </row>
    <row r="508" spans="1:5" x14ac:dyDescent="0.25">
      <c r="A508" s="2">
        <v>20190208</v>
      </c>
      <c r="B508" t="str">
        <f>"030670"</f>
        <v>030670</v>
      </c>
      <c r="C508" t="s">
        <v>277</v>
      </c>
      <c r="D508" s="3">
        <v>5</v>
      </c>
      <c r="E508" t="s">
        <v>278</v>
      </c>
    </row>
    <row r="509" spans="1:5" x14ac:dyDescent="0.25">
      <c r="A509" s="2">
        <v>20190208</v>
      </c>
      <c r="B509" t="str">
        <f>"030671"</f>
        <v>030671</v>
      </c>
      <c r="C509" t="s">
        <v>147</v>
      </c>
      <c r="D509" s="3">
        <v>266.54000000000002</v>
      </c>
      <c r="E509" t="s">
        <v>148</v>
      </c>
    </row>
    <row r="510" spans="1:5" x14ac:dyDescent="0.25">
      <c r="A510" s="2">
        <v>20190208</v>
      </c>
      <c r="B510" t="str">
        <f t="shared" ref="B510:B515" si="7">"030672"</f>
        <v>030672</v>
      </c>
      <c r="C510" t="s">
        <v>4</v>
      </c>
      <c r="D510" s="3">
        <v>49.71</v>
      </c>
      <c r="E510" t="s">
        <v>371</v>
      </c>
    </row>
    <row r="511" spans="1:5" x14ac:dyDescent="0.25">
      <c r="A511" s="2">
        <v>20190208</v>
      </c>
      <c r="B511" t="str">
        <f t="shared" si="7"/>
        <v>030672</v>
      </c>
      <c r="C511" t="s">
        <v>4</v>
      </c>
      <c r="D511" s="3">
        <v>69.680000000000007</v>
      </c>
      <c r="E511" t="s">
        <v>371</v>
      </c>
    </row>
    <row r="512" spans="1:5" x14ac:dyDescent="0.25">
      <c r="A512" s="2">
        <v>20190208</v>
      </c>
      <c r="B512" t="str">
        <f t="shared" si="7"/>
        <v>030672</v>
      </c>
      <c r="C512" t="s">
        <v>4</v>
      </c>
      <c r="D512" s="3">
        <v>984.69</v>
      </c>
      <c r="E512" t="s">
        <v>372</v>
      </c>
    </row>
    <row r="513" spans="1:5" x14ac:dyDescent="0.25">
      <c r="A513" s="2">
        <v>20190208</v>
      </c>
      <c r="B513" t="str">
        <f t="shared" si="7"/>
        <v>030672</v>
      </c>
      <c r="C513" t="s">
        <v>4</v>
      </c>
      <c r="D513" s="3">
        <v>297.10000000000002</v>
      </c>
      <c r="E513" t="s">
        <v>372</v>
      </c>
    </row>
    <row r="514" spans="1:5" x14ac:dyDescent="0.25">
      <c r="A514" s="2">
        <v>20190208</v>
      </c>
      <c r="B514" t="str">
        <f t="shared" si="7"/>
        <v>030672</v>
      </c>
      <c r="C514" t="s">
        <v>4</v>
      </c>
      <c r="D514" s="3">
        <v>49.99</v>
      </c>
      <c r="E514" t="s">
        <v>373</v>
      </c>
    </row>
    <row r="515" spans="1:5" x14ac:dyDescent="0.25">
      <c r="A515" s="2">
        <v>20190208</v>
      </c>
      <c r="B515" t="str">
        <f t="shared" si="7"/>
        <v>030672</v>
      </c>
      <c r="C515" t="s">
        <v>4</v>
      </c>
      <c r="D515" s="3">
        <v>108.9</v>
      </c>
      <c r="E515" t="s">
        <v>374</v>
      </c>
    </row>
    <row r="516" spans="1:5" x14ac:dyDescent="0.25">
      <c r="A516" s="2">
        <v>20190208</v>
      </c>
      <c r="B516" t="str">
        <f>"030673"</f>
        <v>030673</v>
      </c>
      <c r="C516" t="s">
        <v>55</v>
      </c>
      <c r="D516" s="3">
        <v>59.99</v>
      </c>
      <c r="E516" t="s">
        <v>375</v>
      </c>
    </row>
    <row r="517" spans="1:5" x14ac:dyDescent="0.25">
      <c r="A517" s="2">
        <v>20190208</v>
      </c>
      <c r="B517" t="str">
        <f>"030673"</f>
        <v>030673</v>
      </c>
      <c r="C517" t="s">
        <v>55</v>
      </c>
      <c r="D517" s="3">
        <v>91.99</v>
      </c>
      <c r="E517" t="s">
        <v>375</v>
      </c>
    </row>
    <row r="518" spans="1:5" x14ac:dyDescent="0.25">
      <c r="A518" s="2">
        <v>20190208</v>
      </c>
      <c r="B518" t="str">
        <f>"030673"</f>
        <v>030673</v>
      </c>
      <c r="C518" t="s">
        <v>55</v>
      </c>
      <c r="D518" s="3">
        <v>146.68</v>
      </c>
      <c r="E518" t="s">
        <v>149</v>
      </c>
    </row>
    <row r="519" spans="1:5" x14ac:dyDescent="0.25">
      <c r="A519" s="2">
        <v>20190208</v>
      </c>
      <c r="B519" t="str">
        <f t="shared" ref="B519:B524" si="8">"030674"</f>
        <v>030674</v>
      </c>
      <c r="C519" t="s">
        <v>58</v>
      </c>
      <c r="D519" s="3">
        <v>260</v>
      </c>
      <c r="E519" t="s">
        <v>376</v>
      </c>
    </row>
    <row r="520" spans="1:5" x14ac:dyDescent="0.25">
      <c r="A520" s="2">
        <v>20190208</v>
      </c>
      <c r="B520" t="str">
        <f t="shared" si="8"/>
        <v>030674</v>
      </c>
      <c r="C520" t="s">
        <v>58</v>
      </c>
      <c r="D520" s="3">
        <v>410</v>
      </c>
      <c r="E520" t="s">
        <v>376</v>
      </c>
    </row>
    <row r="521" spans="1:5" x14ac:dyDescent="0.25">
      <c r="A521" s="2">
        <v>20190208</v>
      </c>
      <c r="B521" t="str">
        <f t="shared" si="8"/>
        <v>030674</v>
      </c>
      <c r="C521" t="s">
        <v>58</v>
      </c>
      <c r="D521" s="3">
        <v>520</v>
      </c>
      <c r="E521" t="s">
        <v>376</v>
      </c>
    </row>
    <row r="522" spans="1:5" x14ac:dyDescent="0.25">
      <c r="A522" s="2">
        <v>20190208</v>
      </c>
      <c r="B522" t="str">
        <f t="shared" si="8"/>
        <v>030674</v>
      </c>
      <c r="C522" t="s">
        <v>58</v>
      </c>
      <c r="D522" s="3">
        <v>195</v>
      </c>
      <c r="E522" t="s">
        <v>376</v>
      </c>
    </row>
    <row r="523" spans="1:5" x14ac:dyDescent="0.25">
      <c r="A523" s="2">
        <v>20190208</v>
      </c>
      <c r="B523" t="str">
        <f t="shared" si="8"/>
        <v>030674</v>
      </c>
      <c r="C523" t="s">
        <v>58</v>
      </c>
      <c r="D523" s="3">
        <v>670</v>
      </c>
      <c r="E523" t="s">
        <v>376</v>
      </c>
    </row>
    <row r="524" spans="1:5" x14ac:dyDescent="0.25">
      <c r="A524" s="2">
        <v>20190208</v>
      </c>
      <c r="B524" t="str">
        <f t="shared" si="8"/>
        <v>030674</v>
      </c>
      <c r="C524" t="s">
        <v>58</v>
      </c>
      <c r="D524" s="3">
        <v>934</v>
      </c>
      <c r="E524" t="s">
        <v>376</v>
      </c>
    </row>
    <row r="525" spans="1:5" x14ac:dyDescent="0.25">
      <c r="A525" s="2">
        <v>20190208</v>
      </c>
      <c r="B525" t="str">
        <f>"030675"</f>
        <v>030675</v>
      </c>
      <c r="C525" t="s">
        <v>377</v>
      </c>
      <c r="D525" s="3">
        <v>18.989999999999998</v>
      </c>
      <c r="E525" t="s">
        <v>378</v>
      </c>
    </row>
    <row r="526" spans="1:5" x14ac:dyDescent="0.25">
      <c r="A526" s="2">
        <v>20190208</v>
      </c>
      <c r="B526" t="str">
        <f>"030675"</f>
        <v>030675</v>
      </c>
      <c r="C526" t="s">
        <v>377</v>
      </c>
      <c r="D526" s="3">
        <v>18.989999999999998</v>
      </c>
      <c r="E526" t="s">
        <v>378</v>
      </c>
    </row>
    <row r="527" spans="1:5" x14ac:dyDescent="0.25">
      <c r="A527" s="2">
        <v>20190208</v>
      </c>
      <c r="B527" t="str">
        <f>"030675"</f>
        <v>030675</v>
      </c>
      <c r="C527" t="s">
        <v>377</v>
      </c>
      <c r="D527" s="3">
        <v>18.989999999999998</v>
      </c>
      <c r="E527" t="s">
        <v>378</v>
      </c>
    </row>
    <row r="528" spans="1:5" x14ac:dyDescent="0.25">
      <c r="A528" s="2">
        <v>20190208</v>
      </c>
      <c r="B528" t="str">
        <f>"030676"</f>
        <v>030676</v>
      </c>
      <c r="C528" t="s">
        <v>106</v>
      </c>
      <c r="D528" s="3">
        <v>433.79</v>
      </c>
      <c r="E528" t="s">
        <v>379</v>
      </c>
    </row>
    <row r="529" spans="1:5" x14ac:dyDescent="0.25">
      <c r="A529" s="2">
        <v>20190208</v>
      </c>
      <c r="B529" t="str">
        <f>"030676"</f>
        <v>030676</v>
      </c>
      <c r="C529" t="s">
        <v>106</v>
      </c>
      <c r="D529" s="3">
        <v>273.56</v>
      </c>
      <c r="E529" t="s">
        <v>379</v>
      </c>
    </row>
    <row r="530" spans="1:5" x14ac:dyDescent="0.25">
      <c r="A530" s="2">
        <v>20190208</v>
      </c>
      <c r="B530" t="str">
        <f>"030677"</f>
        <v>030677</v>
      </c>
      <c r="C530" t="s">
        <v>380</v>
      </c>
      <c r="D530" s="3">
        <v>2700</v>
      </c>
      <c r="E530" t="s">
        <v>381</v>
      </c>
    </row>
    <row r="531" spans="1:5" x14ac:dyDescent="0.25">
      <c r="A531" s="2">
        <v>20190208</v>
      </c>
      <c r="B531" t="str">
        <f>"030679"</f>
        <v>030679</v>
      </c>
      <c r="C531" t="s">
        <v>382</v>
      </c>
      <c r="D531" s="3">
        <v>26.19</v>
      </c>
      <c r="E531" t="s">
        <v>343</v>
      </c>
    </row>
    <row r="532" spans="1:5" x14ac:dyDescent="0.25">
      <c r="A532" s="2">
        <v>20190208</v>
      </c>
      <c r="B532" t="str">
        <f>"030680"</f>
        <v>030680</v>
      </c>
      <c r="C532" t="s">
        <v>62</v>
      </c>
      <c r="D532" s="3">
        <v>234.25</v>
      </c>
      <c r="E532" t="s">
        <v>383</v>
      </c>
    </row>
    <row r="533" spans="1:5" x14ac:dyDescent="0.25">
      <c r="A533" s="2">
        <v>20190208</v>
      </c>
      <c r="B533" t="str">
        <f>"030680"</f>
        <v>030680</v>
      </c>
      <c r="C533" t="s">
        <v>62</v>
      </c>
      <c r="D533" s="3">
        <v>1135</v>
      </c>
      <c r="E533" t="s">
        <v>384</v>
      </c>
    </row>
    <row r="534" spans="1:5" x14ac:dyDescent="0.25">
      <c r="A534" s="2">
        <v>20190208</v>
      </c>
      <c r="B534" t="str">
        <f>"030681"</f>
        <v>030681</v>
      </c>
      <c r="C534" t="s">
        <v>183</v>
      </c>
      <c r="D534" s="3">
        <v>200</v>
      </c>
      <c r="E534" t="s">
        <v>385</v>
      </c>
    </row>
    <row r="535" spans="1:5" x14ac:dyDescent="0.25">
      <c r="A535" s="2">
        <v>20190208</v>
      </c>
      <c r="B535" t="str">
        <f>"030682"</f>
        <v>030682</v>
      </c>
      <c r="C535" t="s">
        <v>386</v>
      </c>
      <c r="D535" s="3">
        <v>158.57</v>
      </c>
      <c r="E535" t="s">
        <v>271</v>
      </c>
    </row>
    <row r="536" spans="1:5" x14ac:dyDescent="0.25">
      <c r="A536" s="2">
        <v>20190208</v>
      </c>
      <c r="B536" t="str">
        <f>"030683"</f>
        <v>030683</v>
      </c>
      <c r="C536" t="s">
        <v>125</v>
      </c>
      <c r="D536" s="3">
        <v>1480</v>
      </c>
      <c r="E536" t="s">
        <v>227</v>
      </c>
    </row>
    <row r="537" spans="1:5" x14ac:dyDescent="0.25">
      <c r="A537" s="2">
        <v>20190208</v>
      </c>
      <c r="B537" t="str">
        <f>"030683"</f>
        <v>030683</v>
      </c>
      <c r="C537" t="s">
        <v>125</v>
      </c>
      <c r="D537" s="3">
        <v>925</v>
      </c>
      <c r="E537" t="s">
        <v>227</v>
      </c>
    </row>
    <row r="538" spans="1:5" x14ac:dyDescent="0.25">
      <c r="A538" s="2">
        <v>20190208</v>
      </c>
      <c r="B538" t="str">
        <f>"030683"</f>
        <v>030683</v>
      </c>
      <c r="C538" t="s">
        <v>125</v>
      </c>
      <c r="D538" s="3">
        <v>1295</v>
      </c>
      <c r="E538" t="s">
        <v>227</v>
      </c>
    </row>
    <row r="539" spans="1:5" x14ac:dyDescent="0.25">
      <c r="A539" s="2">
        <v>20190222</v>
      </c>
      <c r="B539" t="str">
        <f>"030687"</f>
        <v>030687</v>
      </c>
      <c r="C539" t="s">
        <v>188</v>
      </c>
      <c r="D539" s="3">
        <v>125.67</v>
      </c>
      <c r="E539" t="s">
        <v>387</v>
      </c>
    </row>
    <row r="540" spans="1:5" x14ac:dyDescent="0.25">
      <c r="A540" s="2">
        <v>20190222</v>
      </c>
      <c r="B540" t="str">
        <f>"030687"</f>
        <v>030687</v>
      </c>
      <c r="C540" t="s">
        <v>188</v>
      </c>
      <c r="D540" s="3">
        <v>425.85</v>
      </c>
      <c r="E540" t="s">
        <v>189</v>
      </c>
    </row>
    <row r="541" spans="1:5" x14ac:dyDescent="0.25">
      <c r="A541" s="2">
        <v>20190222</v>
      </c>
      <c r="B541" t="str">
        <f>"030688"</f>
        <v>030688</v>
      </c>
      <c r="C541" t="s">
        <v>318</v>
      </c>
      <c r="D541" s="3">
        <v>99.43</v>
      </c>
      <c r="E541" t="s">
        <v>271</v>
      </c>
    </row>
    <row r="542" spans="1:5" x14ac:dyDescent="0.25">
      <c r="A542" s="2">
        <v>20190222</v>
      </c>
      <c r="B542" t="str">
        <f>"030689"</f>
        <v>030689</v>
      </c>
      <c r="C542" t="s">
        <v>310</v>
      </c>
      <c r="D542" s="3">
        <v>50.93</v>
      </c>
      <c r="E542" t="s">
        <v>388</v>
      </c>
    </row>
    <row r="543" spans="1:5" x14ac:dyDescent="0.25">
      <c r="A543" s="2">
        <v>20190222</v>
      </c>
      <c r="B543" t="str">
        <f>"030690"</f>
        <v>030690</v>
      </c>
      <c r="C543" t="s">
        <v>389</v>
      </c>
      <c r="D543" s="3">
        <v>16.87</v>
      </c>
      <c r="E543" t="s">
        <v>390</v>
      </c>
    </row>
    <row r="544" spans="1:5" x14ac:dyDescent="0.25">
      <c r="A544" s="2">
        <v>20190222</v>
      </c>
      <c r="B544" t="str">
        <f>"030691"</f>
        <v>030691</v>
      </c>
      <c r="C544" t="s">
        <v>391</v>
      </c>
      <c r="D544" s="3">
        <v>686.94</v>
      </c>
      <c r="E544" t="s">
        <v>392</v>
      </c>
    </row>
    <row r="545" spans="1:5" x14ac:dyDescent="0.25">
      <c r="A545" s="2">
        <v>20190222</v>
      </c>
      <c r="B545" t="str">
        <f>"030692"</f>
        <v>030692</v>
      </c>
      <c r="C545" t="s">
        <v>291</v>
      </c>
      <c r="D545" s="3">
        <v>65</v>
      </c>
      <c r="E545" t="s">
        <v>393</v>
      </c>
    </row>
    <row r="546" spans="1:5" x14ac:dyDescent="0.25">
      <c r="A546" s="2">
        <v>20190222</v>
      </c>
      <c r="B546" t="str">
        <f>"030693"</f>
        <v>030693</v>
      </c>
      <c r="C546" t="s">
        <v>81</v>
      </c>
      <c r="D546" s="3">
        <v>202.46</v>
      </c>
      <c r="E546" t="s">
        <v>82</v>
      </c>
    </row>
    <row r="547" spans="1:5" x14ac:dyDescent="0.25">
      <c r="A547" s="2">
        <v>20190222</v>
      </c>
      <c r="B547" t="str">
        <f>"030693"</f>
        <v>030693</v>
      </c>
      <c r="C547" t="s">
        <v>81</v>
      </c>
      <c r="D547" s="3">
        <v>213.94</v>
      </c>
      <c r="E547" t="s">
        <v>82</v>
      </c>
    </row>
    <row r="548" spans="1:5" x14ac:dyDescent="0.25">
      <c r="A548" s="2">
        <v>20190222</v>
      </c>
      <c r="B548" t="str">
        <f>"030693"</f>
        <v>030693</v>
      </c>
      <c r="C548" t="s">
        <v>81</v>
      </c>
      <c r="D548" s="3">
        <v>67.489999999999995</v>
      </c>
      <c r="E548" t="s">
        <v>82</v>
      </c>
    </row>
    <row r="549" spans="1:5" x14ac:dyDescent="0.25">
      <c r="A549" s="2">
        <v>20190222</v>
      </c>
      <c r="B549" t="str">
        <f>"030693"</f>
        <v>030693</v>
      </c>
      <c r="C549" t="s">
        <v>81</v>
      </c>
      <c r="D549" s="3">
        <v>67.489999999999995</v>
      </c>
      <c r="E549" t="s">
        <v>82</v>
      </c>
    </row>
    <row r="550" spans="1:5" x14ac:dyDescent="0.25">
      <c r="A550" s="2">
        <v>20190222</v>
      </c>
      <c r="B550" t="str">
        <f>"030694"</f>
        <v>030694</v>
      </c>
      <c r="C550" t="s">
        <v>333</v>
      </c>
      <c r="D550" s="3">
        <v>166.75</v>
      </c>
      <c r="E550" t="s">
        <v>271</v>
      </c>
    </row>
    <row r="551" spans="1:5" x14ac:dyDescent="0.25">
      <c r="A551" s="2">
        <v>20190222</v>
      </c>
      <c r="B551" t="str">
        <f>"030695"</f>
        <v>030695</v>
      </c>
      <c r="C551" t="s">
        <v>394</v>
      </c>
      <c r="D551" s="3">
        <v>2030</v>
      </c>
      <c r="E551" t="s">
        <v>395</v>
      </c>
    </row>
    <row r="552" spans="1:5" x14ac:dyDescent="0.25">
      <c r="A552" s="2">
        <v>20190222</v>
      </c>
      <c r="B552" t="str">
        <f>"030696"</f>
        <v>030696</v>
      </c>
      <c r="C552" t="s">
        <v>367</v>
      </c>
      <c r="D552" s="3">
        <v>135.4</v>
      </c>
      <c r="E552" t="s">
        <v>271</v>
      </c>
    </row>
    <row r="553" spans="1:5" x14ac:dyDescent="0.25">
      <c r="A553" s="2">
        <v>20190222</v>
      </c>
      <c r="B553" t="str">
        <f>"030697"</f>
        <v>030697</v>
      </c>
      <c r="C553" t="s">
        <v>38</v>
      </c>
      <c r="D553" s="3">
        <v>132.47999999999999</v>
      </c>
      <c r="E553" t="s">
        <v>39</v>
      </c>
    </row>
    <row r="554" spans="1:5" x14ac:dyDescent="0.25">
      <c r="A554" s="2">
        <v>20190222</v>
      </c>
      <c r="B554" t="str">
        <f>"030698"</f>
        <v>030698</v>
      </c>
      <c r="C554" t="s">
        <v>396</v>
      </c>
      <c r="D554" s="3">
        <v>56</v>
      </c>
      <c r="E554" t="s">
        <v>397</v>
      </c>
    </row>
    <row r="555" spans="1:5" x14ac:dyDescent="0.25">
      <c r="A555" s="2">
        <v>20190222</v>
      </c>
      <c r="B555" t="str">
        <f>"030699"</f>
        <v>030699</v>
      </c>
      <c r="C555" t="s">
        <v>277</v>
      </c>
      <c r="D555" s="3">
        <v>5</v>
      </c>
      <c r="E555" t="s">
        <v>278</v>
      </c>
    </row>
    <row r="556" spans="1:5" x14ac:dyDescent="0.25">
      <c r="A556" s="2">
        <v>20190222</v>
      </c>
      <c r="B556" t="str">
        <f>"030701"</f>
        <v>030701</v>
      </c>
      <c r="C556" t="s">
        <v>398</v>
      </c>
      <c r="D556" s="3">
        <v>560</v>
      </c>
      <c r="E556" t="s">
        <v>399</v>
      </c>
    </row>
    <row r="557" spans="1:5" x14ac:dyDescent="0.25">
      <c r="A557" s="2">
        <v>20190222</v>
      </c>
      <c r="B557" t="str">
        <f>"030702"</f>
        <v>030702</v>
      </c>
      <c r="C557" t="s">
        <v>4</v>
      </c>
      <c r="D557" s="3">
        <v>96.25</v>
      </c>
      <c r="E557" t="s">
        <v>400</v>
      </c>
    </row>
    <row r="558" spans="1:5" x14ac:dyDescent="0.25">
      <c r="A558" s="2">
        <v>20190222</v>
      </c>
      <c r="B558" t="str">
        <f>"030702"</f>
        <v>030702</v>
      </c>
      <c r="C558" t="s">
        <v>4</v>
      </c>
      <c r="D558" s="3">
        <v>14.09</v>
      </c>
      <c r="E558" t="s">
        <v>401</v>
      </c>
    </row>
    <row r="559" spans="1:5" x14ac:dyDescent="0.25">
      <c r="A559" s="2">
        <v>20190222</v>
      </c>
      <c r="B559" t="str">
        <f>"030702"</f>
        <v>030702</v>
      </c>
      <c r="C559" t="s">
        <v>4</v>
      </c>
      <c r="D559" s="3">
        <v>6.9</v>
      </c>
      <c r="E559" t="s">
        <v>401</v>
      </c>
    </row>
    <row r="560" spans="1:5" x14ac:dyDescent="0.25">
      <c r="A560" s="2">
        <v>20190222</v>
      </c>
      <c r="B560" t="str">
        <f>"030703"</f>
        <v>030703</v>
      </c>
      <c r="C560" t="s">
        <v>53</v>
      </c>
      <c r="D560" s="3">
        <v>102.63</v>
      </c>
      <c r="E560" t="s">
        <v>149</v>
      </c>
    </row>
    <row r="561" spans="1:5" x14ac:dyDescent="0.25">
      <c r="A561" s="2">
        <v>20190222</v>
      </c>
      <c r="B561" t="str">
        <f>"030704"</f>
        <v>030704</v>
      </c>
      <c r="C561" t="s">
        <v>402</v>
      </c>
      <c r="D561" s="3">
        <v>12.54</v>
      </c>
      <c r="E561" t="s">
        <v>403</v>
      </c>
    </row>
    <row r="562" spans="1:5" x14ac:dyDescent="0.25">
      <c r="A562" s="2">
        <v>20190222</v>
      </c>
      <c r="B562" t="str">
        <f>"030705"</f>
        <v>030705</v>
      </c>
      <c r="C562" t="s">
        <v>55</v>
      </c>
      <c r="D562" s="3">
        <v>21.53</v>
      </c>
      <c r="E562" t="s">
        <v>215</v>
      </c>
    </row>
    <row r="563" spans="1:5" x14ac:dyDescent="0.25">
      <c r="A563" s="2">
        <v>20190222</v>
      </c>
      <c r="B563" t="str">
        <f>"030705"</f>
        <v>030705</v>
      </c>
      <c r="C563" t="s">
        <v>55</v>
      </c>
      <c r="D563" s="3">
        <v>4.47</v>
      </c>
      <c r="E563" t="s">
        <v>149</v>
      </c>
    </row>
    <row r="564" spans="1:5" x14ac:dyDescent="0.25">
      <c r="A564" s="2">
        <v>20190222</v>
      </c>
      <c r="B564" t="str">
        <f>"030705"</f>
        <v>030705</v>
      </c>
      <c r="C564" t="s">
        <v>55</v>
      </c>
      <c r="D564" s="3">
        <v>44.97</v>
      </c>
      <c r="E564" t="s">
        <v>149</v>
      </c>
    </row>
    <row r="565" spans="1:5" x14ac:dyDescent="0.25">
      <c r="A565" s="2">
        <v>20190222</v>
      </c>
      <c r="B565" t="str">
        <f>"030706"</f>
        <v>030706</v>
      </c>
      <c r="C565" t="s">
        <v>62</v>
      </c>
      <c r="D565" s="3">
        <v>949.56</v>
      </c>
      <c r="E565" t="s">
        <v>160</v>
      </c>
    </row>
    <row r="566" spans="1:5" x14ac:dyDescent="0.25">
      <c r="A566" s="2">
        <v>20190222</v>
      </c>
      <c r="B566" t="str">
        <f>"030707"</f>
        <v>030707</v>
      </c>
      <c r="C566" t="s">
        <v>163</v>
      </c>
      <c r="D566" s="3">
        <v>199.47</v>
      </c>
      <c r="E566" t="s">
        <v>164</v>
      </c>
    </row>
    <row r="567" spans="1:5" x14ac:dyDescent="0.25">
      <c r="A567" s="2">
        <v>20190222</v>
      </c>
      <c r="B567" t="str">
        <f>"030711"</f>
        <v>030711</v>
      </c>
      <c r="C567" t="s">
        <v>386</v>
      </c>
      <c r="D567" s="3">
        <v>144.94999999999999</v>
      </c>
      <c r="E567" t="s">
        <v>271</v>
      </c>
    </row>
    <row r="568" spans="1:5" x14ac:dyDescent="0.25">
      <c r="A568" s="2">
        <v>20190222</v>
      </c>
      <c r="B568" t="str">
        <f>"030712"</f>
        <v>030712</v>
      </c>
      <c r="C568" t="s">
        <v>125</v>
      </c>
      <c r="D568" s="3">
        <v>1526.25</v>
      </c>
      <c r="E568" t="s">
        <v>227</v>
      </c>
    </row>
    <row r="569" spans="1:5" x14ac:dyDescent="0.25">
      <c r="A569" s="2">
        <v>20190228</v>
      </c>
      <c r="B569" t="str">
        <f>"030716"</f>
        <v>030716</v>
      </c>
      <c r="C569" t="s">
        <v>132</v>
      </c>
      <c r="D569" s="3">
        <v>50.2</v>
      </c>
      <c r="E569" t="s">
        <v>404</v>
      </c>
    </row>
    <row r="570" spans="1:5" x14ac:dyDescent="0.25">
      <c r="A570" s="2">
        <v>20190228</v>
      </c>
      <c r="B570" t="str">
        <f>"030716"</f>
        <v>030716</v>
      </c>
      <c r="C570" t="s">
        <v>132</v>
      </c>
      <c r="D570" s="3">
        <v>50.2</v>
      </c>
      <c r="E570" t="s">
        <v>404</v>
      </c>
    </row>
    <row r="571" spans="1:5" x14ac:dyDescent="0.25">
      <c r="A571" s="2">
        <v>20190228</v>
      </c>
      <c r="B571" t="str">
        <f>"030717"</f>
        <v>030717</v>
      </c>
      <c r="C571" t="s">
        <v>263</v>
      </c>
      <c r="D571" s="3">
        <v>330</v>
      </c>
      <c r="E571" t="s">
        <v>264</v>
      </c>
    </row>
    <row r="572" spans="1:5" x14ac:dyDescent="0.25">
      <c r="A572" s="2">
        <v>20190228</v>
      </c>
      <c r="B572" t="str">
        <f>"030718"</f>
        <v>030718</v>
      </c>
      <c r="C572" t="s">
        <v>405</v>
      </c>
      <c r="D572" s="3">
        <v>8000</v>
      </c>
      <c r="E572" t="s">
        <v>406</v>
      </c>
    </row>
    <row r="573" spans="1:5" x14ac:dyDescent="0.25">
      <c r="A573" s="2">
        <v>20190228</v>
      </c>
      <c r="B573" t="str">
        <f>"030719"</f>
        <v>030719</v>
      </c>
      <c r="C573" t="s">
        <v>407</v>
      </c>
      <c r="D573" s="3">
        <v>8</v>
      </c>
      <c r="E573" t="s">
        <v>408</v>
      </c>
    </row>
    <row r="574" spans="1:5" x14ac:dyDescent="0.25">
      <c r="A574" s="2">
        <v>20190228</v>
      </c>
      <c r="B574" t="str">
        <f>"030720"</f>
        <v>030720</v>
      </c>
      <c r="C574" t="s">
        <v>409</v>
      </c>
      <c r="D574" s="3">
        <v>32.5</v>
      </c>
      <c r="E574" t="s">
        <v>410</v>
      </c>
    </row>
    <row r="575" spans="1:5" x14ac:dyDescent="0.25">
      <c r="A575" s="2">
        <v>20190228</v>
      </c>
      <c r="B575" t="str">
        <f>"030721"</f>
        <v>030721</v>
      </c>
      <c r="C575" t="s">
        <v>411</v>
      </c>
      <c r="D575" s="3">
        <v>40</v>
      </c>
      <c r="E575" t="s">
        <v>412</v>
      </c>
    </row>
    <row r="576" spans="1:5" x14ac:dyDescent="0.25">
      <c r="A576" s="2">
        <v>20190228</v>
      </c>
      <c r="B576" t="str">
        <f>"030722"</f>
        <v>030722</v>
      </c>
      <c r="C576" t="s">
        <v>89</v>
      </c>
      <c r="D576" s="3">
        <v>85.75</v>
      </c>
      <c r="E576" t="s">
        <v>413</v>
      </c>
    </row>
    <row r="577" spans="1:5" x14ac:dyDescent="0.25">
      <c r="A577" s="2">
        <v>20190228</v>
      </c>
      <c r="B577" t="str">
        <f>"030724"</f>
        <v>030724</v>
      </c>
      <c r="C577" t="s">
        <v>402</v>
      </c>
      <c r="D577" s="3">
        <v>35.700000000000003</v>
      </c>
      <c r="E577" t="s">
        <v>410</v>
      </c>
    </row>
    <row r="578" spans="1:5" x14ac:dyDescent="0.25">
      <c r="A578" s="2">
        <v>20190228</v>
      </c>
      <c r="B578" t="str">
        <f>"030725"</f>
        <v>030725</v>
      </c>
      <c r="C578" t="s">
        <v>55</v>
      </c>
      <c r="D578" s="3">
        <v>50.36</v>
      </c>
      <c r="E578" t="s">
        <v>215</v>
      </c>
    </row>
    <row r="579" spans="1:5" x14ac:dyDescent="0.25">
      <c r="A579" s="2">
        <v>20190228</v>
      </c>
      <c r="B579" t="str">
        <f>"030725"</f>
        <v>030725</v>
      </c>
      <c r="C579" t="s">
        <v>55</v>
      </c>
      <c r="D579" s="3">
        <v>30.08</v>
      </c>
      <c r="E579" t="s">
        <v>215</v>
      </c>
    </row>
    <row r="580" spans="1:5" x14ac:dyDescent="0.25">
      <c r="A580" s="2">
        <v>20190228</v>
      </c>
      <c r="B580" t="str">
        <f>"030725"</f>
        <v>030725</v>
      </c>
      <c r="C580" t="s">
        <v>55</v>
      </c>
      <c r="D580" s="3">
        <v>15.99</v>
      </c>
      <c r="E580" t="s">
        <v>215</v>
      </c>
    </row>
    <row r="581" spans="1:5" x14ac:dyDescent="0.25">
      <c r="A581" s="2">
        <v>20190228</v>
      </c>
      <c r="B581" t="str">
        <f>"030726"</f>
        <v>030726</v>
      </c>
      <c r="C581" t="s">
        <v>62</v>
      </c>
      <c r="D581" s="3">
        <v>800</v>
      </c>
      <c r="E581" t="s">
        <v>414</v>
      </c>
    </row>
    <row r="582" spans="1:5" x14ac:dyDescent="0.25">
      <c r="A582" s="2">
        <v>20190228</v>
      </c>
      <c r="B582" t="str">
        <f>"030727"</f>
        <v>030727</v>
      </c>
      <c r="C582" t="s">
        <v>258</v>
      </c>
      <c r="D582" s="3">
        <v>54</v>
      </c>
      <c r="E582" t="s">
        <v>415</v>
      </c>
    </row>
    <row r="583" spans="1:5" x14ac:dyDescent="0.25">
      <c r="A583" s="2">
        <v>20190228</v>
      </c>
      <c r="B583" t="str">
        <f>"030728"</f>
        <v>030728</v>
      </c>
      <c r="C583" t="s">
        <v>125</v>
      </c>
      <c r="D583" s="3">
        <v>1075</v>
      </c>
      <c r="E583" t="s">
        <v>126</v>
      </c>
    </row>
    <row r="584" spans="1:5" x14ac:dyDescent="0.25">
      <c r="A584" s="2"/>
      <c r="C584" s="11" t="s">
        <v>751</v>
      </c>
      <c r="D584" s="21">
        <f>SUM(D489:D583)</f>
        <v>37880.270000000004</v>
      </c>
    </row>
    <row r="585" spans="1:5" x14ac:dyDescent="0.25">
      <c r="A585" s="2">
        <v>20190309</v>
      </c>
      <c r="B585" t="str">
        <f>"030729"</f>
        <v>030729</v>
      </c>
      <c r="C585" t="s">
        <v>16</v>
      </c>
      <c r="D585" s="3">
        <v>1077.2</v>
      </c>
      <c r="E585" t="s">
        <v>416</v>
      </c>
    </row>
    <row r="586" spans="1:5" x14ac:dyDescent="0.25">
      <c r="A586" s="2">
        <v>20190309</v>
      </c>
      <c r="B586" t="str">
        <f>"030730"</f>
        <v>030730</v>
      </c>
      <c r="C586" t="s">
        <v>308</v>
      </c>
      <c r="D586" s="3">
        <v>96</v>
      </c>
      <c r="E586" t="s">
        <v>417</v>
      </c>
    </row>
    <row r="587" spans="1:5" x14ac:dyDescent="0.25">
      <c r="A587" s="2">
        <v>20190309</v>
      </c>
      <c r="B587" t="str">
        <f>"030731"</f>
        <v>030731</v>
      </c>
      <c r="C587" t="s">
        <v>129</v>
      </c>
      <c r="D587" s="3">
        <v>112.42</v>
      </c>
      <c r="E587" t="s">
        <v>130</v>
      </c>
    </row>
    <row r="588" spans="1:5" x14ac:dyDescent="0.25">
      <c r="A588" s="2">
        <v>20190309</v>
      </c>
      <c r="B588" t="str">
        <f>"030732"</f>
        <v>030732</v>
      </c>
      <c r="C588" t="s">
        <v>40</v>
      </c>
      <c r="D588" s="3">
        <v>559.87</v>
      </c>
      <c r="E588" t="s">
        <v>41</v>
      </c>
    </row>
    <row r="589" spans="1:5" x14ac:dyDescent="0.25">
      <c r="A589" s="2">
        <v>20190309</v>
      </c>
      <c r="B589" t="str">
        <f>"030733"</f>
        <v>030733</v>
      </c>
      <c r="C589" t="s">
        <v>42</v>
      </c>
      <c r="D589" s="3">
        <v>4410.5</v>
      </c>
      <c r="E589" t="s">
        <v>43</v>
      </c>
    </row>
    <row r="590" spans="1:5" x14ac:dyDescent="0.25">
      <c r="A590" s="2">
        <v>20190309</v>
      </c>
      <c r="B590" t="str">
        <f>"030734"</f>
        <v>030734</v>
      </c>
      <c r="C590" t="s">
        <v>418</v>
      </c>
      <c r="D590" s="3">
        <v>37</v>
      </c>
      <c r="E590" t="s">
        <v>419</v>
      </c>
    </row>
    <row r="591" spans="1:5" x14ac:dyDescent="0.25">
      <c r="A591" s="2">
        <v>20190309</v>
      </c>
      <c r="B591" t="str">
        <f>"030735"</f>
        <v>030735</v>
      </c>
      <c r="C591" t="s">
        <v>83</v>
      </c>
      <c r="D591" s="3">
        <v>139</v>
      </c>
      <c r="E591" t="s">
        <v>420</v>
      </c>
    </row>
    <row r="592" spans="1:5" x14ac:dyDescent="0.25">
      <c r="A592" s="2">
        <v>20190309</v>
      </c>
      <c r="B592" t="str">
        <f>"030735"</f>
        <v>030735</v>
      </c>
      <c r="C592" t="s">
        <v>83</v>
      </c>
      <c r="D592" s="3">
        <v>220</v>
      </c>
      <c r="E592" t="s">
        <v>421</v>
      </c>
    </row>
    <row r="593" spans="1:5" x14ac:dyDescent="0.25">
      <c r="A593" s="2">
        <v>20190309</v>
      </c>
      <c r="B593" t="str">
        <f>"030736"</f>
        <v>030736</v>
      </c>
      <c r="C593" t="s">
        <v>138</v>
      </c>
      <c r="D593" s="3">
        <v>1165.79</v>
      </c>
      <c r="E593" t="s">
        <v>139</v>
      </c>
    </row>
    <row r="594" spans="1:5" x14ac:dyDescent="0.25">
      <c r="A594" s="2">
        <v>20190309</v>
      </c>
      <c r="B594" t="str">
        <f>"030737"</f>
        <v>030737</v>
      </c>
      <c r="C594" t="s">
        <v>142</v>
      </c>
      <c r="D594" s="3">
        <v>7</v>
      </c>
      <c r="E594" t="s">
        <v>422</v>
      </c>
    </row>
    <row r="595" spans="1:5" x14ac:dyDescent="0.25">
      <c r="A595" s="2">
        <v>20190309</v>
      </c>
      <c r="B595" t="str">
        <f>"030738"</f>
        <v>030738</v>
      </c>
      <c r="C595" t="s">
        <v>198</v>
      </c>
      <c r="D595" s="3">
        <v>260.2</v>
      </c>
      <c r="E595" t="s">
        <v>423</v>
      </c>
    </row>
    <row r="596" spans="1:5" x14ac:dyDescent="0.25">
      <c r="A596" s="2">
        <v>20190309</v>
      </c>
      <c r="B596" t="str">
        <f>"030739"</f>
        <v>030739</v>
      </c>
      <c r="C596" t="s">
        <v>411</v>
      </c>
      <c r="D596" s="3">
        <v>19.5</v>
      </c>
      <c r="E596" t="s">
        <v>424</v>
      </c>
    </row>
    <row r="597" spans="1:5" x14ac:dyDescent="0.25">
      <c r="A597" s="2">
        <v>20190309</v>
      </c>
      <c r="B597" t="str">
        <f>"030740"</f>
        <v>030740</v>
      </c>
      <c r="C597" t="s">
        <v>2</v>
      </c>
      <c r="D597" s="3">
        <v>79.56</v>
      </c>
      <c r="E597" t="s">
        <v>425</v>
      </c>
    </row>
    <row r="598" spans="1:5" x14ac:dyDescent="0.25">
      <c r="A598" s="2">
        <v>20190309</v>
      </c>
      <c r="B598" t="str">
        <f>"030740"</f>
        <v>030740</v>
      </c>
      <c r="C598" t="s">
        <v>2</v>
      </c>
      <c r="D598" s="3">
        <v>62.24</v>
      </c>
      <c r="E598" t="s">
        <v>426</v>
      </c>
    </row>
    <row r="599" spans="1:5" x14ac:dyDescent="0.25">
      <c r="A599" s="2">
        <v>20190309</v>
      </c>
      <c r="B599" t="str">
        <f>"030742"</f>
        <v>030742</v>
      </c>
      <c r="C599" t="s">
        <v>91</v>
      </c>
      <c r="D599" s="3">
        <v>1140.2</v>
      </c>
      <c r="E599" t="s">
        <v>92</v>
      </c>
    </row>
    <row r="600" spans="1:5" x14ac:dyDescent="0.25">
      <c r="A600" s="2">
        <v>20190309</v>
      </c>
      <c r="B600" t="str">
        <f>"030743"</f>
        <v>030743</v>
      </c>
      <c r="C600" t="s">
        <v>147</v>
      </c>
      <c r="D600" s="3">
        <v>349.19</v>
      </c>
      <c r="E600" t="s">
        <v>148</v>
      </c>
    </row>
    <row r="601" spans="1:5" x14ac:dyDescent="0.25">
      <c r="A601" s="2">
        <v>20190309</v>
      </c>
      <c r="B601" t="str">
        <f t="shared" ref="B601:B606" si="9">"030744"</f>
        <v>030744</v>
      </c>
      <c r="C601" t="s">
        <v>4</v>
      </c>
      <c r="D601" s="3">
        <v>281.22000000000003</v>
      </c>
      <c r="E601" t="s">
        <v>427</v>
      </c>
    </row>
    <row r="602" spans="1:5" x14ac:dyDescent="0.25">
      <c r="A602" s="2">
        <v>20190309</v>
      </c>
      <c r="B602" t="str">
        <f t="shared" si="9"/>
        <v>030744</v>
      </c>
      <c r="C602" t="s">
        <v>4</v>
      </c>
      <c r="D602" s="3">
        <v>105.63</v>
      </c>
      <c r="E602" t="s">
        <v>428</v>
      </c>
    </row>
    <row r="603" spans="1:5" x14ac:dyDescent="0.25">
      <c r="A603" s="2">
        <v>20190309</v>
      </c>
      <c r="B603" t="str">
        <f t="shared" si="9"/>
        <v>030744</v>
      </c>
      <c r="C603" t="s">
        <v>4</v>
      </c>
      <c r="D603" s="3">
        <v>56.5</v>
      </c>
      <c r="E603" t="s">
        <v>429</v>
      </c>
    </row>
    <row r="604" spans="1:5" x14ac:dyDescent="0.25">
      <c r="A604" s="2">
        <v>20190309</v>
      </c>
      <c r="B604" t="str">
        <f t="shared" si="9"/>
        <v>030744</v>
      </c>
      <c r="C604" t="s">
        <v>4</v>
      </c>
      <c r="D604" s="3">
        <v>60</v>
      </c>
      <c r="E604" t="s">
        <v>410</v>
      </c>
    </row>
    <row r="605" spans="1:5" x14ac:dyDescent="0.25">
      <c r="A605" s="2">
        <v>20190309</v>
      </c>
      <c r="B605" t="str">
        <f t="shared" si="9"/>
        <v>030744</v>
      </c>
      <c r="C605" t="s">
        <v>4</v>
      </c>
      <c r="D605" s="3">
        <v>65.14</v>
      </c>
      <c r="E605" t="s">
        <v>430</v>
      </c>
    </row>
    <row r="606" spans="1:5" x14ac:dyDescent="0.25">
      <c r="A606" s="2">
        <v>20190309</v>
      </c>
      <c r="B606" t="str">
        <f t="shared" si="9"/>
        <v>030744</v>
      </c>
      <c r="C606" t="s">
        <v>4</v>
      </c>
      <c r="D606" s="3">
        <v>736.74</v>
      </c>
      <c r="E606" t="s">
        <v>431</v>
      </c>
    </row>
    <row r="607" spans="1:5" x14ac:dyDescent="0.25">
      <c r="A607" s="2">
        <v>20190309</v>
      </c>
      <c r="B607" t="str">
        <f>"030745"</f>
        <v>030745</v>
      </c>
      <c r="C607" t="s">
        <v>432</v>
      </c>
      <c r="D607" s="3">
        <v>100</v>
      </c>
      <c r="E607" t="s">
        <v>281</v>
      </c>
    </row>
    <row r="608" spans="1:5" x14ac:dyDescent="0.25">
      <c r="A608" s="2">
        <v>20190309</v>
      </c>
      <c r="B608" t="str">
        <f>"030745"</f>
        <v>030745</v>
      </c>
      <c r="C608" t="s">
        <v>432</v>
      </c>
      <c r="D608" s="3">
        <v>100</v>
      </c>
      <c r="E608" t="s">
        <v>281</v>
      </c>
    </row>
    <row r="609" spans="1:5" x14ac:dyDescent="0.25">
      <c r="A609" s="2">
        <v>20190309</v>
      </c>
      <c r="B609" t="str">
        <f>"030746"</f>
        <v>030746</v>
      </c>
      <c r="C609" t="s">
        <v>106</v>
      </c>
      <c r="D609" s="3">
        <v>28.99</v>
      </c>
      <c r="E609" t="s">
        <v>433</v>
      </c>
    </row>
    <row r="610" spans="1:5" x14ac:dyDescent="0.25">
      <c r="A610" s="2">
        <v>20190309</v>
      </c>
      <c r="B610" t="str">
        <f>"030746"</f>
        <v>030746</v>
      </c>
      <c r="C610" t="s">
        <v>106</v>
      </c>
      <c r="D610" s="3">
        <v>115.99</v>
      </c>
      <c r="E610" t="s">
        <v>434</v>
      </c>
    </row>
    <row r="611" spans="1:5" x14ac:dyDescent="0.25">
      <c r="A611" s="2">
        <v>20190309</v>
      </c>
      <c r="B611" t="str">
        <f>"030746"</f>
        <v>030746</v>
      </c>
      <c r="C611" t="s">
        <v>106</v>
      </c>
      <c r="D611" s="3">
        <v>69.16</v>
      </c>
      <c r="E611" t="s">
        <v>434</v>
      </c>
    </row>
    <row r="612" spans="1:5" x14ac:dyDescent="0.25">
      <c r="A612" s="2">
        <v>20190309</v>
      </c>
      <c r="B612" t="str">
        <f>"030747"</f>
        <v>030747</v>
      </c>
      <c r="C612" t="s">
        <v>11</v>
      </c>
      <c r="D612" s="3">
        <v>225</v>
      </c>
      <c r="E612" t="s">
        <v>435</v>
      </c>
    </row>
    <row r="613" spans="1:5" x14ac:dyDescent="0.25">
      <c r="A613" s="2">
        <v>20190309</v>
      </c>
      <c r="B613" t="str">
        <f>"030748"</f>
        <v>030748</v>
      </c>
      <c r="C613" t="s">
        <v>436</v>
      </c>
      <c r="D613" s="3">
        <v>112.57</v>
      </c>
      <c r="E613" t="s">
        <v>437</v>
      </c>
    </row>
    <row r="614" spans="1:5" x14ac:dyDescent="0.25">
      <c r="A614" s="2">
        <v>20190309</v>
      </c>
      <c r="B614" t="str">
        <f>"030749"</f>
        <v>030749</v>
      </c>
      <c r="C614" t="s">
        <v>326</v>
      </c>
      <c r="D614" s="3">
        <v>55.25</v>
      </c>
      <c r="E614" t="s">
        <v>438</v>
      </c>
    </row>
    <row r="615" spans="1:5" x14ac:dyDescent="0.25">
      <c r="A615" s="2">
        <v>20190309</v>
      </c>
      <c r="B615" t="str">
        <f>"030750"</f>
        <v>030750</v>
      </c>
      <c r="C615" t="s">
        <v>303</v>
      </c>
      <c r="D615" s="3">
        <v>420</v>
      </c>
      <c r="E615" t="s">
        <v>439</v>
      </c>
    </row>
    <row r="616" spans="1:5" x14ac:dyDescent="0.25">
      <c r="A616" s="2">
        <v>20190309</v>
      </c>
      <c r="B616" t="str">
        <f>"030751"</f>
        <v>030751</v>
      </c>
      <c r="C616" t="s">
        <v>258</v>
      </c>
      <c r="D616" s="3">
        <v>37</v>
      </c>
      <c r="E616" t="s">
        <v>440</v>
      </c>
    </row>
    <row r="617" spans="1:5" x14ac:dyDescent="0.25">
      <c r="A617" s="2">
        <v>20190309</v>
      </c>
      <c r="B617" t="str">
        <f>"030751"</f>
        <v>030751</v>
      </c>
      <c r="C617" t="s">
        <v>258</v>
      </c>
      <c r="D617" s="3">
        <v>58</v>
      </c>
      <c r="E617" t="s">
        <v>410</v>
      </c>
    </row>
    <row r="618" spans="1:5" x14ac:dyDescent="0.25">
      <c r="A618" s="2">
        <v>20190309</v>
      </c>
      <c r="B618" t="str">
        <f>"030751"</f>
        <v>030751</v>
      </c>
      <c r="C618" t="s">
        <v>258</v>
      </c>
      <c r="D618" s="3">
        <v>80</v>
      </c>
      <c r="E618" t="s">
        <v>441</v>
      </c>
    </row>
    <row r="619" spans="1:5" x14ac:dyDescent="0.25">
      <c r="A619" s="2">
        <v>20190309</v>
      </c>
      <c r="B619" t="str">
        <f>"030752"</f>
        <v>030752</v>
      </c>
      <c r="C619" t="s">
        <v>231</v>
      </c>
      <c r="D619" s="3">
        <v>914.5</v>
      </c>
      <c r="E619" t="s">
        <v>232</v>
      </c>
    </row>
    <row r="620" spans="1:5" x14ac:dyDescent="0.25">
      <c r="A620" s="2">
        <v>20190309</v>
      </c>
      <c r="B620" t="str">
        <f>"030753"</f>
        <v>030753</v>
      </c>
      <c r="C620" t="s">
        <v>442</v>
      </c>
      <c r="D620" s="3">
        <v>305.25</v>
      </c>
      <c r="E620" t="s">
        <v>443</v>
      </c>
    </row>
    <row r="621" spans="1:5" x14ac:dyDescent="0.25">
      <c r="A621" s="2">
        <v>20190322</v>
      </c>
      <c r="B621" t="str">
        <f>"030757"</f>
        <v>030757</v>
      </c>
      <c r="C621" t="s">
        <v>444</v>
      </c>
      <c r="D621" s="3">
        <v>454.32</v>
      </c>
      <c r="E621" t="s">
        <v>445</v>
      </c>
    </row>
    <row r="622" spans="1:5" x14ac:dyDescent="0.25">
      <c r="A622" s="2">
        <v>20190322</v>
      </c>
      <c r="B622" t="str">
        <f>"030758"</f>
        <v>030758</v>
      </c>
      <c r="C622" t="s">
        <v>135</v>
      </c>
      <c r="D622" s="3">
        <v>8933.4599999999991</v>
      </c>
      <c r="E622" t="s">
        <v>136</v>
      </c>
    </row>
    <row r="623" spans="1:5" x14ac:dyDescent="0.25">
      <c r="A623" s="2">
        <v>20190322</v>
      </c>
      <c r="B623" t="str">
        <f>"030759"</f>
        <v>030759</v>
      </c>
      <c r="C623" t="s">
        <v>81</v>
      </c>
      <c r="D623" s="3">
        <v>202.46</v>
      </c>
      <c r="E623" t="s">
        <v>82</v>
      </c>
    </row>
    <row r="624" spans="1:5" x14ac:dyDescent="0.25">
      <c r="A624" s="2">
        <v>20190322</v>
      </c>
      <c r="B624" t="str">
        <f>"030759"</f>
        <v>030759</v>
      </c>
      <c r="C624" t="s">
        <v>81</v>
      </c>
      <c r="D624" s="3">
        <v>213.94</v>
      </c>
      <c r="E624" t="s">
        <v>82</v>
      </c>
    </row>
    <row r="625" spans="1:5" x14ac:dyDescent="0.25">
      <c r="A625" s="2">
        <v>20190322</v>
      </c>
      <c r="B625" t="str">
        <f>"030759"</f>
        <v>030759</v>
      </c>
      <c r="C625" t="s">
        <v>81</v>
      </c>
      <c r="D625" s="3">
        <v>67.489999999999995</v>
      </c>
      <c r="E625" t="s">
        <v>82</v>
      </c>
    </row>
    <row r="626" spans="1:5" x14ac:dyDescent="0.25">
      <c r="A626" s="2">
        <v>20190322</v>
      </c>
      <c r="B626" t="str">
        <f>"030759"</f>
        <v>030759</v>
      </c>
      <c r="C626" t="s">
        <v>81</v>
      </c>
      <c r="D626" s="3">
        <v>67.489999999999995</v>
      </c>
      <c r="E626" t="s">
        <v>82</v>
      </c>
    </row>
    <row r="627" spans="1:5" x14ac:dyDescent="0.25">
      <c r="A627" s="2">
        <v>20190322</v>
      </c>
      <c r="B627" t="str">
        <f>"030760"</f>
        <v>030760</v>
      </c>
      <c r="C627" t="s">
        <v>446</v>
      </c>
      <c r="D627" s="3">
        <v>3250</v>
      </c>
      <c r="E627" t="s">
        <v>447</v>
      </c>
    </row>
    <row r="628" spans="1:5" x14ac:dyDescent="0.25">
      <c r="A628" s="2">
        <v>20190322</v>
      </c>
      <c r="B628" t="str">
        <f>"030761"</f>
        <v>030761</v>
      </c>
      <c r="C628" t="s">
        <v>319</v>
      </c>
      <c r="D628" s="3">
        <v>499.25</v>
      </c>
      <c r="E628" t="s">
        <v>448</v>
      </c>
    </row>
    <row r="629" spans="1:5" x14ac:dyDescent="0.25">
      <c r="A629" s="2">
        <v>20190322</v>
      </c>
      <c r="B629" t="str">
        <f>"030762"</f>
        <v>030762</v>
      </c>
      <c r="C629" t="s">
        <v>449</v>
      </c>
      <c r="D629" s="3">
        <v>132.47999999999999</v>
      </c>
      <c r="E629" t="s">
        <v>39</v>
      </c>
    </row>
    <row r="630" spans="1:5" x14ac:dyDescent="0.25">
      <c r="A630" s="2">
        <v>20190322</v>
      </c>
      <c r="B630" t="str">
        <f>"030764"</f>
        <v>030764</v>
      </c>
      <c r="C630" t="s">
        <v>267</v>
      </c>
      <c r="D630" s="3">
        <v>30</v>
      </c>
      <c r="E630" t="s">
        <v>450</v>
      </c>
    </row>
    <row r="631" spans="1:5" x14ac:dyDescent="0.25">
      <c r="A631" s="2">
        <v>20190322</v>
      </c>
      <c r="B631" t="str">
        <f t="shared" ref="B631:B636" si="10">"030766"</f>
        <v>030766</v>
      </c>
      <c r="C631" t="s">
        <v>4</v>
      </c>
      <c r="D631" s="3">
        <v>141.19999999999999</v>
      </c>
      <c r="E631" t="s">
        <v>451</v>
      </c>
    </row>
    <row r="632" spans="1:5" x14ac:dyDescent="0.25">
      <c r="A632" s="2">
        <v>20190322</v>
      </c>
      <c r="B632" t="str">
        <f t="shared" si="10"/>
        <v>030766</v>
      </c>
      <c r="C632" t="s">
        <v>4</v>
      </c>
      <c r="D632" s="3">
        <v>50.74</v>
      </c>
      <c r="E632" t="s">
        <v>452</v>
      </c>
    </row>
    <row r="633" spans="1:5" x14ac:dyDescent="0.25">
      <c r="A633" s="2">
        <v>20190322</v>
      </c>
      <c r="B633" t="str">
        <f t="shared" si="10"/>
        <v>030766</v>
      </c>
      <c r="C633" t="s">
        <v>4</v>
      </c>
      <c r="D633" s="3">
        <v>36.79</v>
      </c>
      <c r="E633" t="s">
        <v>453</v>
      </c>
    </row>
    <row r="634" spans="1:5" x14ac:dyDescent="0.25">
      <c r="A634" s="2">
        <v>20190322</v>
      </c>
      <c r="B634" t="str">
        <f t="shared" si="10"/>
        <v>030766</v>
      </c>
      <c r="C634" t="s">
        <v>4</v>
      </c>
      <c r="D634" s="3">
        <v>10.8</v>
      </c>
      <c r="E634" t="s">
        <v>454</v>
      </c>
    </row>
    <row r="635" spans="1:5" x14ac:dyDescent="0.25">
      <c r="A635" s="2">
        <v>20190322</v>
      </c>
      <c r="B635" t="str">
        <f t="shared" si="10"/>
        <v>030766</v>
      </c>
      <c r="C635" t="s">
        <v>4</v>
      </c>
      <c r="D635" s="3">
        <v>8.06</v>
      </c>
      <c r="E635" t="s">
        <v>454</v>
      </c>
    </row>
    <row r="636" spans="1:5" x14ac:dyDescent="0.25">
      <c r="A636" s="2">
        <v>20190322</v>
      </c>
      <c r="B636" t="str">
        <f t="shared" si="10"/>
        <v>030766</v>
      </c>
      <c r="C636" t="s">
        <v>4</v>
      </c>
      <c r="D636" s="3">
        <v>168</v>
      </c>
      <c r="E636" t="s">
        <v>455</v>
      </c>
    </row>
    <row r="637" spans="1:5" x14ac:dyDescent="0.25">
      <c r="A637" s="2">
        <v>20190322</v>
      </c>
      <c r="B637" t="str">
        <f>"030767"</f>
        <v>030767</v>
      </c>
      <c r="C637" t="s">
        <v>53</v>
      </c>
      <c r="D637" s="3">
        <v>4.3099999999999996</v>
      </c>
      <c r="E637" t="s">
        <v>54</v>
      </c>
    </row>
    <row r="638" spans="1:5" x14ac:dyDescent="0.25">
      <c r="A638" s="2">
        <v>20190322</v>
      </c>
      <c r="B638" t="str">
        <f>"030768"</f>
        <v>030768</v>
      </c>
      <c r="C638" t="s">
        <v>456</v>
      </c>
      <c r="D638" s="3">
        <v>26.97</v>
      </c>
      <c r="E638" t="s">
        <v>457</v>
      </c>
    </row>
    <row r="639" spans="1:5" x14ac:dyDescent="0.25">
      <c r="A639" s="2">
        <v>20190322</v>
      </c>
      <c r="B639" t="str">
        <f>"030768"</f>
        <v>030768</v>
      </c>
      <c r="C639" t="s">
        <v>456</v>
      </c>
      <c r="D639" s="3">
        <v>25.22</v>
      </c>
      <c r="E639" t="s">
        <v>457</v>
      </c>
    </row>
    <row r="640" spans="1:5" x14ac:dyDescent="0.25">
      <c r="A640" s="2">
        <v>20190322</v>
      </c>
      <c r="B640" t="str">
        <f>"030769"</f>
        <v>030769</v>
      </c>
      <c r="C640" t="s">
        <v>55</v>
      </c>
      <c r="D640" s="3">
        <v>139.97</v>
      </c>
      <c r="E640" t="s">
        <v>54</v>
      </c>
    </row>
    <row r="641" spans="1:5" x14ac:dyDescent="0.25">
      <c r="A641" s="2">
        <v>20190322</v>
      </c>
      <c r="B641" t="str">
        <f>"030770"</f>
        <v>030770</v>
      </c>
      <c r="C641" t="s">
        <v>58</v>
      </c>
      <c r="D641" s="3">
        <v>264</v>
      </c>
      <c r="E641" t="s">
        <v>376</v>
      </c>
    </row>
    <row r="642" spans="1:5" x14ac:dyDescent="0.25">
      <c r="A642" s="2">
        <v>20190322</v>
      </c>
      <c r="B642" t="str">
        <f t="shared" ref="B642:B649" si="11">"030771"</f>
        <v>030771</v>
      </c>
      <c r="C642" t="s">
        <v>106</v>
      </c>
      <c r="D642" s="3">
        <v>11.58</v>
      </c>
      <c r="E642" t="s">
        <v>458</v>
      </c>
    </row>
    <row r="643" spans="1:5" x14ac:dyDescent="0.25">
      <c r="A643" s="2">
        <v>20190322</v>
      </c>
      <c r="B643" t="str">
        <f t="shared" si="11"/>
        <v>030771</v>
      </c>
      <c r="C643" t="s">
        <v>106</v>
      </c>
      <c r="D643" s="3">
        <v>788.97</v>
      </c>
      <c r="E643" t="s">
        <v>459</v>
      </c>
    </row>
    <row r="644" spans="1:5" x14ac:dyDescent="0.25">
      <c r="A644" s="2">
        <v>20190322</v>
      </c>
      <c r="B644" t="str">
        <f t="shared" si="11"/>
        <v>030771</v>
      </c>
      <c r="C644" t="s">
        <v>106</v>
      </c>
      <c r="D644" s="3">
        <v>788.98</v>
      </c>
      <c r="E644" t="s">
        <v>459</v>
      </c>
    </row>
    <row r="645" spans="1:5" x14ac:dyDescent="0.25">
      <c r="A645" s="2">
        <v>20190322</v>
      </c>
      <c r="B645" t="str">
        <f t="shared" si="11"/>
        <v>030771</v>
      </c>
      <c r="C645" t="s">
        <v>106</v>
      </c>
      <c r="D645" s="3">
        <v>480.94</v>
      </c>
      <c r="E645" t="s">
        <v>458</v>
      </c>
    </row>
    <row r="646" spans="1:5" x14ac:dyDescent="0.25">
      <c r="A646" s="2">
        <v>20190322</v>
      </c>
      <c r="B646" t="str">
        <f t="shared" si="11"/>
        <v>030771</v>
      </c>
      <c r="C646" t="s">
        <v>106</v>
      </c>
      <c r="D646" s="3">
        <v>100.99</v>
      </c>
      <c r="E646" t="s">
        <v>458</v>
      </c>
    </row>
    <row r="647" spans="1:5" x14ac:dyDescent="0.25">
      <c r="A647" s="2">
        <v>20190322</v>
      </c>
      <c r="B647" t="str">
        <f t="shared" si="11"/>
        <v>030771</v>
      </c>
      <c r="C647" t="s">
        <v>106</v>
      </c>
      <c r="D647" s="3">
        <v>319</v>
      </c>
      <c r="E647" t="s">
        <v>459</v>
      </c>
    </row>
    <row r="648" spans="1:5" x14ac:dyDescent="0.25">
      <c r="A648" s="2">
        <v>20190322</v>
      </c>
      <c r="B648" t="str">
        <f t="shared" si="11"/>
        <v>030771</v>
      </c>
      <c r="C648" t="s">
        <v>106</v>
      </c>
      <c r="D648" s="3">
        <v>265.92</v>
      </c>
      <c r="E648" t="s">
        <v>459</v>
      </c>
    </row>
    <row r="649" spans="1:5" x14ac:dyDescent="0.25">
      <c r="A649" s="2">
        <v>20190322</v>
      </c>
      <c r="B649" t="str">
        <f t="shared" si="11"/>
        <v>030771</v>
      </c>
      <c r="C649" t="s">
        <v>106</v>
      </c>
      <c r="D649" s="3">
        <v>40.479999999999997</v>
      </c>
      <c r="E649" t="s">
        <v>458</v>
      </c>
    </row>
    <row r="650" spans="1:5" x14ac:dyDescent="0.25">
      <c r="A650" s="2">
        <v>20190322</v>
      </c>
      <c r="B650" t="str">
        <f>"030772"</f>
        <v>030772</v>
      </c>
      <c r="C650" t="s">
        <v>11</v>
      </c>
      <c r="D650" s="3">
        <v>3312</v>
      </c>
      <c r="E650" t="s">
        <v>460</v>
      </c>
    </row>
    <row r="651" spans="1:5" x14ac:dyDescent="0.25">
      <c r="A651" s="2">
        <v>20190322</v>
      </c>
      <c r="B651" t="str">
        <f>"030774"</f>
        <v>030774</v>
      </c>
      <c r="C651" t="s">
        <v>117</v>
      </c>
      <c r="D651" s="3">
        <v>267.02</v>
      </c>
      <c r="E651" t="s">
        <v>461</v>
      </c>
    </row>
    <row r="652" spans="1:5" x14ac:dyDescent="0.25">
      <c r="A652" s="2">
        <v>20190322</v>
      </c>
      <c r="B652" t="str">
        <f>"030775"</f>
        <v>030775</v>
      </c>
      <c r="C652" t="s">
        <v>462</v>
      </c>
      <c r="D652" s="3">
        <v>722.2</v>
      </c>
      <c r="E652" t="s">
        <v>463</v>
      </c>
    </row>
    <row r="653" spans="1:5" x14ac:dyDescent="0.25">
      <c r="A653" s="2">
        <v>20190322</v>
      </c>
      <c r="B653" t="str">
        <f>"030776"</f>
        <v>030776</v>
      </c>
      <c r="C653" t="s">
        <v>163</v>
      </c>
      <c r="D653" s="3">
        <v>228.8</v>
      </c>
      <c r="E653" t="s">
        <v>164</v>
      </c>
    </row>
    <row r="654" spans="1:5" x14ac:dyDescent="0.25">
      <c r="A654" s="2">
        <v>20190322</v>
      </c>
      <c r="B654" t="str">
        <f>"030777"</f>
        <v>030777</v>
      </c>
      <c r="C654" t="s">
        <v>464</v>
      </c>
      <c r="D654" s="3">
        <v>250</v>
      </c>
      <c r="E654" t="s">
        <v>465</v>
      </c>
    </row>
    <row r="655" spans="1:5" x14ac:dyDescent="0.25">
      <c r="A655" s="2">
        <v>20190322</v>
      </c>
      <c r="B655" t="str">
        <f>"030779"</f>
        <v>030779</v>
      </c>
      <c r="C655" t="s">
        <v>14</v>
      </c>
      <c r="D655" s="3">
        <v>887.5</v>
      </c>
      <c r="E655" t="s">
        <v>466</v>
      </c>
    </row>
    <row r="656" spans="1:5" x14ac:dyDescent="0.25">
      <c r="A656" s="2">
        <v>20190322</v>
      </c>
      <c r="B656" t="str">
        <f>"030780"</f>
        <v>030780</v>
      </c>
      <c r="C656" t="s">
        <v>467</v>
      </c>
      <c r="D656" s="3">
        <v>12</v>
      </c>
      <c r="E656" t="s">
        <v>457</v>
      </c>
    </row>
    <row r="657" spans="1:5" x14ac:dyDescent="0.25">
      <c r="A657" s="2">
        <v>20190322</v>
      </c>
      <c r="B657" t="str">
        <f>"030781"</f>
        <v>030781</v>
      </c>
      <c r="C657" t="s">
        <v>442</v>
      </c>
      <c r="D657" s="3">
        <v>1665</v>
      </c>
      <c r="E657" t="s">
        <v>443</v>
      </c>
    </row>
    <row r="658" spans="1:5" x14ac:dyDescent="0.25">
      <c r="A658" s="2">
        <v>20190322</v>
      </c>
      <c r="B658" t="str">
        <f>"030782"</f>
        <v>030782</v>
      </c>
      <c r="C658" t="s">
        <v>14</v>
      </c>
      <c r="D658" s="3">
        <v>887.5</v>
      </c>
      <c r="E658" t="s">
        <v>466</v>
      </c>
    </row>
    <row r="659" spans="1:5" x14ac:dyDescent="0.25">
      <c r="A659" s="2">
        <v>20190322</v>
      </c>
      <c r="B659" t="str">
        <f>"030783"</f>
        <v>030783</v>
      </c>
      <c r="C659" t="s">
        <v>436</v>
      </c>
      <c r="D659" s="3">
        <v>125</v>
      </c>
      <c r="E659" t="s">
        <v>468</v>
      </c>
    </row>
    <row r="660" spans="1:5" x14ac:dyDescent="0.25">
      <c r="A660" s="2">
        <v>20190322</v>
      </c>
      <c r="B660" t="str">
        <f>"030784"</f>
        <v>030784</v>
      </c>
      <c r="C660" t="s">
        <v>16</v>
      </c>
      <c r="D660" s="3">
        <v>362.8</v>
      </c>
      <c r="E660" t="s">
        <v>469</v>
      </c>
    </row>
    <row r="661" spans="1:5" x14ac:dyDescent="0.25">
      <c r="A661" s="2"/>
      <c r="C661" s="11" t="s">
        <v>752</v>
      </c>
      <c r="D661" s="21">
        <f>SUM(D585:D660)</f>
        <v>39906.240000000013</v>
      </c>
    </row>
    <row r="662" spans="1:5" x14ac:dyDescent="0.25">
      <c r="A662" s="2">
        <v>20190403</v>
      </c>
      <c r="B662" t="str">
        <f>"030785"</f>
        <v>030785</v>
      </c>
      <c r="C662" t="s">
        <v>16</v>
      </c>
      <c r="D662" s="3">
        <v>108.84</v>
      </c>
      <c r="E662" t="s">
        <v>470</v>
      </c>
    </row>
    <row r="663" spans="1:5" x14ac:dyDescent="0.25">
      <c r="A663" s="2">
        <v>20190403</v>
      </c>
      <c r="B663" t="str">
        <f>"030786"</f>
        <v>030786</v>
      </c>
      <c r="C663" t="s">
        <v>308</v>
      </c>
      <c r="D663" s="3">
        <v>240</v>
      </c>
      <c r="E663" t="s">
        <v>417</v>
      </c>
    </row>
    <row r="664" spans="1:5" x14ac:dyDescent="0.25">
      <c r="A664" s="2">
        <v>20190403</v>
      </c>
      <c r="B664" t="str">
        <f>"030787"</f>
        <v>030787</v>
      </c>
      <c r="C664" t="s">
        <v>471</v>
      </c>
      <c r="D664" s="3">
        <v>250</v>
      </c>
      <c r="E664" t="s">
        <v>472</v>
      </c>
    </row>
    <row r="665" spans="1:5" x14ac:dyDescent="0.25">
      <c r="A665" s="2">
        <v>20190403</v>
      </c>
      <c r="B665" t="str">
        <f>"030788"</f>
        <v>030788</v>
      </c>
      <c r="C665" t="s">
        <v>473</v>
      </c>
      <c r="D665" s="3">
        <v>420.64</v>
      </c>
      <c r="E665" t="s">
        <v>474</v>
      </c>
    </row>
    <row r="666" spans="1:5" x14ac:dyDescent="0.25">
      <c r="A666" s="2">
        <v>20190403</v>
      </c>
      <c r="B666" t="str">
        <f>"030788"</f>
        <v>030788</v>
      </c>
      <c r="C666" t="s">
        <v>473</v>
      </c>
      <c r="D666" s="3">
        <v>401.36</v>
      </c>
      <c r="E666" t="s">
        <v>474</v>
      </c>
    </row>
    <row r="667" spans="1:5" x14ac:dyDescent="0.25">
      <c r="A667" s="2">
        <v>20190403</v>
      </c>
      <c r="B667" t="str">
        <f>"030789"</f>
        <v>030789</v>
      </c>
      <c r="C667" t="s">
        <v>475</v>
      </c>
      <c r="D667" s="3">
        <v>2921.53</v>
      </c>
      <c r="E667" t="s">
        <v>476</v>
      </c>
    </row>
    <row r="668" spans="1:5" x14ac:dyDescent="0.25">
      <c r="A668" s="2">
        <v>20190403</v>
      </c>
      <c r="B668" t="str">
        <f>"030790"</f>
        <v>030790</v>
      </c>
      <c r="C668" t="s">
        <v>477</v>
      </c>
      <c r="D668" s="3">
        <v>24</v>
      </c>
      <c r="E668" t="s">
        <v>478</v>
      </c>
    </row>
    <row r="669" spans="1:5" x14ac:dyDescent="0.25">
      <c r="A669" s="2">
        <v>20190403</v>
      </c>
      <c r="B669" t="str">
        <f>"030792"</f>
        <v>030792</v>
      </c>
      <c r="C669" t="s">
        <v>147</v>
      </c>
      <c r="D669" s="3">
        <v>491.3</v>
      </c>
      <c r="E669" t="s">
        <v>148</v>
      </c>
    </row>
    <row r="670" spans="1:5" x14ac:dyDescent="0.25">
      <c r="A670" s="2">
        <v>20190403</v>
      </c>
      <c r="B670" t="str">
        <f>"030793"</f>
        <v>030793</v>
      </c>
      <c r="C670" t="s">
        <v>4</v>
      </c>
      <c r="D670" s="3">
        <v>38.75</v>
      </c>
      <c r="E670" t="s">
        <v>479</v>
      </c>
    </row>
    <row r="671" spans="1:5" x14ac:dyDescent="0.25">
      <c r="A671" s="2">
        <v>20190403</v>
      </c>
      <c r="B671" t="str">
        <f>"030793"</f>
        <v>030793</v>
      </c>
      <c r="C671" t="s">
        <v>4</v>
      </c>
      <c r="D671" s="3">
        <v>66.599999999999994</v>
      </c>
      <c r="E671" t="s">
        <v>374</v>
      </c>
    </row>
    <row r="672" spans="1:5" x14ac:dyDescent="0.25">
      <c r="A672" s="2">
        <v>20190403</v>
      </c>
      <c r="B672" t="str">
        <f>"030793"</f>
        <v>030793</v>
      </c>
      <c r="C672" t="s">
        <v>4</v>
      </c>
      <c r="D672" s="3">
        <v>47.88</v>
      </c>
      <c r="E672" t="s">
        <v>480</v>
      </c>
    </row>
    <row r="673" spans="1:5" x14ac:dyDescent="0.25">
      <c r="A673" s="2">
        <v>20190403</v>
      </c>
      <c r="B673" t="str">
        <f>"030794"</f>
        <v>030794</v>
      </c>
      <c r="C673" t="s">
        <v>53</v>
      </c>
      <c r="D673" s="3">
        <v>469.5</v>
      </c>
      <c r="E673" t="s">
        <v>481</v>
      </c>
    </row>
    <row r="674" spans="1:5" x14ac:dyDescent="0.25">
      <c r="A674" s="2">
        <v>20190403</v>
      </c>
      <c r="B674" t="str">
        <f>"030795"</f>
        <v>030795</v>
      </c>
      <c r="C674" t="s">
        <v>55</v>
      </c>
      <c r="D674" s="3">
        <v>78.97</v>
      </c>
      <c r="E674" t="s">
        <v>108</v>
      </c>
    </row>
    <row r="675" spans="1:5" x14ac:dyDescent="0.25">
      <c r="A675" s="2">
        <v>20190403</v>
      </c>
      <c r="B675" t="str">
        <f>"030795"</f>
        <v>030795</v>
      </c>
      <c r="C675" t="s">
        <v>55</v>
      </c>
      <c r="D675" s="3">
        <v>245.97</v>
      </c>
      <c r="E675" t="s">
        <v>149</v>
      </c>
    </row>
    <row r="676" spans="1:5" x14ac:dyDescent="0.25">
      <c r="A676" s="2">
        <v>20190403</v>
      </c>
      <c r="B676" t="str">
        <f>"030795"</f>
        <v>030795</v>
      </c>
      <c r="C676" t="s">
        <v>55</v>
      </c>
      <c r="D676" s="3">
        <v>71.540000000000006</v>
      </c>
      <c r="E676" t="s">
        <v>482</v>
      </c>
    </row>
    <row r="677" spans="1:5" x14ac:dyDescent="0.25">
      <c r="A677" s="2">
        <v>20190403</v>
      </c>
      <c r="B677" t="str">
        <f>"030795"</f>
        <v>030795</v>
      </c>
      <c r="C677" t="s">
        <v>55</v>
      </c>
      <c r="D677" s="3">
        <v>39.950000000000003</v>
      </c>
      <c r="E677" t="s">
        <v>482</v>
      </c>
    </row>
    <row r="678" spans="1:5" x14ac:dyDescent="0.25">
      <c r="A678" s="2">
        <v>20190403</v>
      </c>
      <c r="B678" t="str">
        <f>"030795"</f>
        <v>030795</v>
      </c>
      <c r="C678" t="s">
        <v>55</v>
      </c>
      <c r="D678" s="3">
        <v>28.8</v>
      </c>
      <c r="E678" t="s">
        <v>482</v>
      </c>
    </row>
    <row r="679" spans="1:5" x14ac:dyDescent="0.25">
      <c r="A679" s="2">
        <v>20190403</v>
      </c>
      <c r="B679" t="str">
        <f>"030796"</f>
        <v>030796</v>
      </c>
      <c r="C679" t="s">
        <v>483</v>
      </c>
      <c r="D679" s="3">
        <v>300</v>
      </c>
      <c r="E679" t="s">
        <v>484</v>
      </c>
    </row>
    <row r="680" spans="1:5" x14ac:dyDescent="0.25">
      <c r="A680" s="2">
        <v>20190403</v>
      </c>
      <c r="B680" t="str">
        <f>"030796"</f>
        <v>030796</v>
      </c>
      <c r="C680" t="s">
        <v>483</v>
      </c>
      <c r="D680" s="3">
        <v>300</v>
      </c>
      <c r="E680" t="s">
        <v>484</v>
      </c>
    </row>
    <row r="681" spans="1:5" x14ac:dyDescent="0.25">
      <c r="A681" s="2">
        <v>20190403</v>
      </c>
      <c r="B681" t="str">
        <f>"030797"</f>
        <v>030797</v>
      </c>
      <c r="C681" t="s">
        <v>106</v>
      </c>
      <c r="D681" s="3">
        <v>1729.99</v>
      </c>
      <c r="E681" t="s">
        <v>485</v>
      </c>
    </row>
    <row r="682" spans="1:5" x14ac:dyDescent="0.25">
      <c r="A682" s="2">
        <v>20190403</v>
      </c>
      <c r="B682" t="str">
        <f>"030797"</f>
        <v>030797</v>
      </c>
      <c r="C682" t="s">
        <v>106</v>
      </c>
      <c r="D682" s="3">
        <v>165.6</v>
      </c>
      <c r="E682" t="s">
        <v>486</v>
      </c>
    </row>
    <row r="683" spans="1:5" x14ac:dyDescent="0.25">
      <c r="A683" s="2">
        <v>20190403</v>
      </c>
      <c r="B683" t="str">
        <f>"030797"</f>
        <v>030797</v>
      </c>
      <c r="C683" t="s">
        <v>106</v>
      </c>
      <c r="D683" s="3">
        <v>152.41999999999999</v>
      </c>
      <c r="E683" t="s">
        <v>487</v>
      </c>
    </row>
    <row r="684" spans="1:5" x14ac:dyDescent="0.25">
      <c r="A684" s="2">
        <v>20190403</v>
      </c>
      <c r="B684" t="str">
        <f>"030798"</f>
        <v>030798</v>
      </c>
      <c r="C684" t="s">
        <v>324</v>
      </c>
      <c r="D684" s="3">
        <v>68.5</v>
      </c>
      <c r="E684" t="s">
        <v>488</v>
      </c>
    </row>
    <row r="685" spans="1:5" x14ac:dyDescent="0.25">
      <c r="A685" s="2">
        <v>20190403</v>
      </c>
      <c r="B685" t="str">
        <f>"030799"</f>
        <v>030799</v>
      </c>
      <c r="C685" t="s">
        <v>11</v>
      </c>
      <c r="D685" s="3">
        <v>70</v>
      </c>
      <c r="E685" t="s">
        <v>489</v>
      </c>
    </row>
    <row r="686" spans="1:5" x14ac:dyDescent="0.25">
      <c r="A686" s="2">
        <v>20190403</v>
      </c>
      <c r="B686" t="str">
        <f>"030800"</f>
        <v>030800</v>
      </c>
      <c r="C686" t="s">
        <v>219</v>
      </c>
      <c r="D686" s="3">
        <v>270</v>
      </c>
      <c r="E686" t="s">
        <v>490</v>
      </c>
    </row>
    <row r="687" spans="1:5" x14ac:dyDescent="0.25">
      <c r="A687" s="2">
        <v>20190403</v>
      </c>
      <c r="B687" t="str">
        <f>"030801"</f>
        <v>030801</v>
      </c>
      <c r="C687" t="s">
        <v>303</v>
      </c>
      <c r="D687" s="3">
        <v>50</v>
      </c>
      <c r="E687" t="s">
        <v>304</v>
      </c>
    </row>
    <row r="688" spans="1:5" x14ac:dyDescent="0.25">
      <c r="A688" s="2">
        <v>20190403</v>
      </c>
      <c r="B688" t="str">
        <f>"030802"</f>
        <v>030802</v>
      </c>
      <c r="C688" t="s">
        <v>491</v>
      </c>
      <c r="D688" s="3">
        <v>45</v>
      </c>
      <c r="E688" t="s">
        <v>492</v>
      </c>
    </row>
    <row r="689" spans="1:5" x14ac:dyDescent="0.25">
      <c r="A689" s="2">
        <v>20190403</v>
      </c>
      <c r="B689" t="str">
        <f>"030803"</f>
        <v>030803</v>
      </c>
      <c r="C689" t="s">
        <v>493</v>
      </c>
      <c r="D689" s="3">
        <v>200</v>
      </c>
      <c r="E689" t="s">
        <v>494</v>
      </c>
    </row>
    <row r="690" spans="1:5" x14ac:dyDescent="0.25">
      <c r="A690" s="2">
        <v>20190403</v>
      </c>
      <c r="B690" t="str">
        <f>"030803"</f>
        <v>030803</v>
      </c>
      <c r="C690" t="s">
        <v>493</v>
      </c>
      <c r="D690" s="3">
        <v>200</v>
      </c>
      <c r="E690" t="s">
        <v>494</v>
      </c>
    </row>
    <row r="691" spans="1:5" x14ac:dyDescent="0.25">
      <c r="A691" s="2">
        <v>20190403</v>
      </c>
      <c r="B691" t="str">
        <f>"030804"</f>
        <v>030804</v>
      </c>
      <c r="C691" t="s">
        <v>14</v>
      </c>
      <c r="D691" s="3">
        <v>480</v>
      </c>
      <c r="E691" t="s">
        <v>495</v>
      </c>
    </row>
    <row r="692" spans="1:5" x14ac:dyDescent="0.25">
      <c r="A692" s="2">
        <v>20190403</v>
      </c>
      <c r="B692" t="str">
        <f>"030805"</f>
        <v>030805</v>
      </c>
      <c r="C692" t="s">
        <v>70</v>
      </c>
      <c r="D692" s="3">
        <v>3500</v>
      </c>
      <c r="E692" t="s">
        <v>496</v>
      </c>
    </row>
    <row r="693" spans="1:5" x14ac:dyDescent="0.25">
      <c r="A693" s="2">
        <v>20190403</v>
      </c>
      <c r="B693" t="str">
        <f>"030806"</f>
        <v>030806</v>
      </c>
      <c r="C693" t="s">
        <v>497</v>
      </c>
      <c r="D693" s="3">
        <v>279.95</v>
      </c>
      <c r="E693" t="s">
        <v>232</v>
      </c>
    </row>
    <row r="694" spans="1:5" x14ac:dyDescent="0.25">
      <c r="A694" s="2">
        <v>20190403</v>
      </c>
      <c r="B694" t="str">
        <f>"030806"</f>
        <v>030806</v>
      </c>
      <c r="C694" t="s">
        <v>497</v>
      </c>
      <c r="D694" s="3">
        <v>973.5</v>
      </c>
      <c r="E694" t="s">
        <v>232</v>
      </c>
    </row>
    <row r="695" spans="1:5" x14ac:dyDescent="0.25">
      <c r="A695" s="2">
        <v>20190403</v>
      </c>
      <c r="B695" t="str">
        <f>"030807"</f>
        <v>030807</v>
      </c>
      <c r="C695" t="s">
        <v>498</v>
      </c>
      <c r="D695" s="3">
        <v>45.99</v>
      </c>
      <c r="E695" t="s">
        <v>499</v>
      </c>
    </row>
    <row r="696" spans="1:5" x14ac:dyDescent="0.25">
      <c r="A696" s="2">
        <v>20190417</v>
      </c>
      <c r="B696" t="str">
        <f>"030808"</f>
        <v>030808</v>
      </c>
      <c r="C696" t="s">
        <v>444</v>
      </c>
      <c r="D696" s="3">
        <v>1125.07</v>
      </c>
      <c r="E696" t="s">
        <v>500</v>
      </c>
    </row>
    <row r="697" spans="1:5" x14ac:dyDescent="0.25">
      <c r="A697" s="2">
        <v>20190417</v>
      </c>
      <c r="B697" t="str">
        <f>"030809"</f>
        <v>030809</v>
      </c>
      <c r="C697" t="s">
        <v>129</v>
      </c>
      <c r="D697" s="3">
        <v>112.42</v>
      </c>
      <c r="E697" t="s">
        <v>130</v>
      </c>
    </row>
    <row r="698" spans="1:5" x14ac:dyDescent="0.25">
      <c r="A698" s="2">
        <v>20190417</v>
      </c>
      <c r="B698" t="str">
        <f>"030810"</f>
        <v>030810</v>
      </c>
      <c r="C698" t="s">
        <v>40</v>
      </c>
      <c r="D698" s="3">
        <v>515.62</v>
      </c>
      <c r="E698" t="s">
        <v>41</v>
      </c>
    </row>
    <row r="699" spans="1:5" x14ac:dyDescent="0.25">
      <c r="A699" s="2">
        <v>20190417</v>
      </c>
      <c r="B699" t="str">
        <f>"030811"</f>
        <v>030811</v>
      </c>
      <c r="C699" t="s">
        <v>138</v>
      </c>
      <c r="D699" s="3">
        <v>1054.48</v>
      </c>
      <c r="E699" t="s">
        <v>139</v>
      </c>
    </row>
    <row r="700" spans="1:5" x14ac:dyDescent="0.25">
      <c r="A700" s="2">
        <v>20190417</v>
      </c>
      <c r="B700" t="str">
        <f>"030812"</f>
        <v>030812</v>
      </c>
      <c r="C700" t="s">
        <v>473</v>
      </c>
      <c r="D700" s="3">
        <v>3383.94</v>
      </c>
      <c r="E700" t="s">
        <v>474</v>
      </c>
    </row>
    <row r="701" spans="1:5" x14ac:dyDescent="0.25">
      <c r="A701" s="2">
        <v>20190417</v>
      </c>
      <c r="B701" t="str">
        <f>"030813"</f>
        <v>030813</v>
      </c>
      <c r="C701" t="s">
        <v>2</v>
      </c>
      <c r="D701" s="3">
        <v>53.19</v>
      </c>
      <c r="E701" t="s">
        <v>501</v>
      </c>
    </row>
    <row r="702" spans="1:5" x14ac:dyDescent="0.25">
      <c r="A702" s="2">
        <v>20190417</v>
      </c>
      <c r="B702" t="str">
        <f t="shared" ref="B702:B711" si="12">"030815"</f>
        <v>030815</v>
      </c>
      <c r="C702" t="s">
        <v>4</v>
      </c>
      <c r="D702" s="3">
        <v>101.14</v>
      </c>
      <c r="E702" t="s">
        <v>502</v>
      </c>
    </row>
    <row r="703" spans="1:5" x14ac:dyDescent="0.25">
      <c r="A703" s="2">
        <v>20190417</v>
      </c>
      <c r="B703" t="str">
        <f t="shared" si="12"/>
        <v>030815</v>
      </c>
      <c r="C703" t="s">
        <v>4</v>
      </c>
      <c r="D703" s="3">
        <v>21</v>
      </c>
      <c r="E703" t="s">
        <v>503</v>
      </c>
    </row>
    <row r="704" spans="1:5" x14ac:dyDescent="0.25">
      <c r="A704" s="2">
        <v>20190417</v>
      </c>
      <c r="B704" t="str">
        <f t="shared" si="12"/>
        <v>030815</v>
      </c>
      <c r="C704" t="s">
        <v>4</v>
      </c>
      <c r="D704" s="3">
        <v>457.52</v>
      </c>
      <c r="E704" t="s">
        <v>504</v>
      </c>
    </row>
    <row r="705" spans="1:5" x14ac:dyDescent="0.25">
      <c r="A705" s="2">
        <v>20190417</v>
      </c>
      <c r="B705" t="str">
        <f t="shared" si="12"/>
        <v>030815</v>
      </c>
      <c r="C705" t="s">
        <v>4</v>
      </c>
      <c r="D705" s="3">
        <v>55.75</v>
      </c>
      <c r="E705" t="s">
        <v>505</v>
      </c>
    </row>
    <row r="706" spans="1:5" x14ac:dyDescent="0.25">
      <c r="A706" s="2">
        <v>20190417</v>
      </c>
      <c r="B706" t="str">
        <f t="shared" si="12"/>
        <v>030815</v>
      </c>
      <c r="C706" t="s">
        <v>4</v>
      </c>
      <c r="D706" s="3">
        <v>135.47999999999999</v>
      </c>
      <c r="E706" t="s">
        <v>506</v>
      </c>
    </row>
    <row r="707" spans="1:5" x14ac:dyDescent="0.25">
      <c r="A707" s="2">
        <v>20190417</v>
      </c>
      <c r="B707" t="str">
        <f t="shared" si="12"/>
        <v>030815</v>
      </c>
      <c r="C707" t="s">
        <v>4</v>
      </c>
      <c r="D707" s="3">
        <v>27</v>
      </c>
      <c r="E707" t="s">
        <v>507</v>
      </c>
    </row>
    <row r="708" spans="1:5" x14ac:dyDescent="0.25">
      <c r="A708" s="2">
        <v>20190417</v>
      </c>
      <c r="B708" t="str">
        <f t="shared" si="12"/>
        <v>030815</v>
      </c>
      <c r="C708" t="s">
        <v>4</v>
      </c>
      <c r="D708" s="3">
        <v>22</v>
      </c>
      <c r="E708" t="s">
        <v>507</v>
      </c>
    </row>
    <row r="709" spans="1:5" x14ac:dyDescent="0.25">
      <c r="A709" s="2">
        <v>20190417</v>
      </c>
      <c r="B709" t="str">
        <f t="shared" si="12"/>
        <v>030815</v>
      </c>
      <c r="C709" t="s">
        <v>4</v>
      </c>
      <c r="D709" s="3">
        <v>54.19</v>
      </c>
      <c r="E709" t="s">
        <v>508</v>
      </c>
    </row>
    <row r="710" spans="1:5" x14ac:dyDescent="0.25">
      <c r="A710" s="2">
        <v>20190417</v>
      </c>
      <c r="B710" t="str">
        <f t="shared" si="12"/>
        <v>030815</v>
      </c>
      <c r="C710" t="s">
        <v>4</v>
      </c>
      <c r="D710" s="3">
        <v>257.64</v>
      </c>
      <c r="E710" t="s">
        <v>509</v>
      </c>
    </row>
    <row r="711" spans="1:5" x14ac:dyDescent="0.25">
      <c r="A711" s="2">
        <v>20190417</v>
      </c>
      <c r="B711" t="str">
        <f t="shared" si="12"/>
        <v>030815</v>
      </c>
      <c r="C711" t="s">
        <v>4</v>
      </c>
      <c r="D711" s="3">
        <v>220</v>
      </c>
      <c r="E711" t="s">
        <v>510</v>
      </c>
    </row>
    <row r="712" spans="1:5" x14ac:dyDescent="0.25">
      <c r="A712" s="2">
        <v>20190417</v>
      </c>
      <c r="B712" t="str">
        <f>"030816"</f>
        <v>030816</v>
      </c>
      <c r="C712" t="s">
        <v>53</v>
      </c>
      <c r="D712" s="3">
        <v>368.59</v>
      </c>
      <c r="E712" t="s">
        <v>511</v>
      </c>
    </row>
    <row r="713" spans="1:5" x14ac:dyDescent="0.25">
      <c r="A713" s="2">
        <v>20190417</v>
      </c>
      <c r="B713" t="str">
        <f>"030816"</f>
        <v>030816</v>
      </c>
      <c r="C713" t="s">
        <v>53</v>
      </c>
      <c r="D713" s="3">
        <v>25.57</v>
      </c>
      <c r="E713" t="s">
        <v>149</v>
      </c>
    </row>
    <row r="714" spans="1:5" x14ac:dyDescent="0.25">
      <c r="A714" s="2">
        <v>20190417</v>
      </c>
      <c r="B714" t="str">
        <f>"030817"</f>
        <v>030817</v>
      </c>
      <c r="C714" t="s">
        <v>55</v>
      </c>
      <c r="D714" s="3">
        <v>55</v>
      </c>
      <c r="E714" t="s">
        <v>512</v>
      </c>
    </row>
    <row r="715" spans="1:5" x14ac:dyDescent="0.25">
      <c r="A715" s="2">
        <v>20190417</v>
      </c>
      <c r="B715" t="str">
        <f>"030818"</f>
        <v>030818</v>
      </c>
      <c r="C715" t="s">
        <v>513</v>
      </c>
      <c r="D715" s="3">
        <v>1640</v>
      </c>
      <c r="E715" t="s">
        <v>514</v>
      </c>
    </row>
    <row r="716" spans="1:5" x14ac:dyDescent="0.25">
      <c r="A716" s="2">
        <v>20190417</v>
      </c>
      <c r="B716" t="str">
        <f>"030819"</f>
        <v>030819</v>
      </c>
      <c r="C716" t="s">
        <v>11</v>
      </c>
      <c r="D716" s="3">
        <v>500</v>
      </c>
      <c r="E716" t="s">
        <v>515</v>
      </c>
    </row>
    <row r="717" spans="1:5" x14ac:dyDescent="0.25">
      <c r="A717" s="2">
        <v>20190417</v>
      </c>
      <c r="B717" t="str">
        <f>"030820"</f>
        <v>030820</v>
      </c>
      <c r="C717" t="s">
        <v>119</v>
      </c>
      <c r="D717" s="3">
        <v>440</v>
      </c>
      <c r="E717" t="s">
        <v>516</v>
      </c>
    </row>
    <row r="718" spans="1:5" x14ac:dyDescent="0.25">
      <c r="A718" s="2">
        <v>20190417</v>
      </c>
      <c r="B718" t="str">
        <f>"030820"</f>
        <v>030820</v>
      </c>
      <c r="C718" t="s">
        <v>119</v>
      </c>
      <c r="D718" s="3">
        <v>180</v>
      </c>
      <c r="E718" t="s">
        <v>517</v>
      </c>
    </row>
    <row r="719" spans="1:5" x14ac:dyDescent="0.25">
      <c r="A719" s="2">
        <v>20190417</v>
      </c>
      <c r="B719" t="str">
        <f>"030821"</f>
        <v>030821</v>
      </c>
      <c r="C719" t="s">
        <v>163</v>
      </c>
      <c r="D719" s="3">
        <v>228.8</v>
      </c>
      <c r="E719" t="s">
        <v>164</v>
      </c>
    </row>
    <row r="720" spans="1:5" x14ac:dyDescent="0.25">
      <c r="A720" s="2">
        <v>20190430</v>
      </c>
      <c r="B720" t="str">
        <f>"030825"</f>
        <v>030825</v>
      </c>
      <c r="C720" t="s">
        <v>261</v>
      </c>
      <c r="D720" s="3">
        <v>1</v>
      </c>
      <c r="E720" t="s">
        <v>262</v>
      </c>
    </row>
    <row r="721" spans="1:5" x14ac:dyDescent="0.25">
      <c r="A721" s="2">
        <v>20190430</v>
      </c>
      <c r="B721" t="str">
        <f>"030826"</f>
        <v>030826</v>
      </c>
      <c r="C721" t="s">
        <v>81</v>
      </c>
      <c r="D721" s="3">
        <v>202.46</v>
      </c>
      <c r="E721" t="s">
        <v>82</v>
      </c>
    </row>
    <row r="722" spans="1:5" x14ac:dyDescent="0.25">
      <c r="A722" s="2">
        <v>20190430</v>
      </c>
      <c r="B722" t="str">
        <f>"030826"</f>
        <v>030826</v>
      </c>
      <c r="C722" t="s">
        <v>81</v>
      </c>
      <c r="D722" s="3">
        <v>213.94</v>
      </c>
      <c r="E722" t="s">
        <v>82</v>
      </c>
    </row>
    <row r="723" spans="1:5" x14ac:dyDescent="0.25">
      <c r="A723" s="2">
        <v>20190430</v>
      </c>
      <c r="B723" t="str">
        <f>"030826"</f>
        <v>030826</v>
      </c>
      <c r="C723" t="s">
        <v>81</v>
      </c>
      <c r="D723" s="3">
        <v>67.489999999999995</v>
      </c>
      <c r="E723" t="s">
        <v>82</v>
      </c>
    </row>
    <row r="724" spans="1:5" x14ac:dyDescent="0.25">
      <c r="A724" s="2">
        <v>20190430</v>
      </c>
      <c r="B724" t="str">
        <f>"030826"</f>
        <v>030826</v>
      </c>
      <c r="C724" t="s">
        <v>81</v>
      </c>
      <c r="D724" s="3">
        <v>67.489999999999995</v>
      </c>
      <c r="E724" t="s">
        <v>82</v>
      </c>
    </row>
    <row r="725" spans="1:5" x14ac:dyDescent="0.25">
      <c r="A725" s="2">
        <v>20190430</v>
      </c>
      <c r="B725" t="str">
        <f>"030827"</f>
        <v>030827</v>
      </c>
      <c r="C725" t="s">
        <v>477</v>
      </c>
      <c r="D725" s="3">
        <v>98.08</v>
      </c>
      <c r="E725" t="s">
        <v>518</v>
      </c>
    </row>
    <row r="726" spans="1:5" x14ac:dyDescent="0.25">
      <c r="A726" s="2">
        <v>20190430</v>
      </c>
      <c r="B726" t="str">
        <f t="shared" ref="B726:B748" si="13">"030829"</f>
        <v>030829</v>
      </c>
      <c r="C726" t="s">
        <v>4</v>
      </c>
      <c r="D726" s="3">
        <v>9.48</v>
      </c>
      <c r="E726" t="s">
        <v>519</v>
      </c>
    </row>
    <row r="727" spans="1:5" x14ac:dyDescent="0.25">
      <c r="A727" s="2">
        <v>20190430</v>
      </c>
      <c r="B727" t="str">
        <f t="shared" si="13"/>
        <v>030829</v>
      </c>
      <c r="C727" t="s">
        <v>4</v>
      </c>
      <c r="D727" s="3">
        <v>318.32</v>
      </c>
      <c r="E727" t="s">
        <v>520</v>
      </c>
    </row>
    <row r="728" spans="1:5" x14ac:dyDescent="0.25">
      <c r="A728" s="2">
        <v>20190430</v>
      </c>
      <c r="B728" t="str">
        <f t="shared" si="13"/>
        <v>030829</v>
      </c>
      <c r="C728" t="s">
        <v>4</v>
      </c>
      <c r="D728" s="3">
        <v>318.32</v>
      </c>
      <c r="E728" t="s">
        <v>520</v>
      </c>
    </row>
    <row r="729" spans="1:5" x14ac:dyDescent="0.25">
      <c r="A729" s="2">
        <v>20190430</v>
      </c>
      <c r="B729" t="str">
        <f t="shared" si="13"/>
        <v>030829</v>
      </c>
      <c r="C729" t="s">
        <v>4</v>
      </c>
      <c r="D729" s="3">
        <v>318.32</v>
      </c>
      <c r="E729" t="s">
        <v>520</v>
      </c>
    </row>
    <row r="730" spans="1:5" x14ac:dyDescent="0.25">
      <c r="A730" s="2">
        <v>20190430</v>
      </c>
      <c r="B730" t="str">
        <f t="shared" si="13"/>
        <v>030829</v>
      </c>
      <c r="C730" t="s">
        <v>4</v>
      </c>
      <c r="D730" s="3">
        <v>318.32</v>
      </c>
      <c r="E730" t="s">
        <v>520</v>
      </c>
    </row>
    <row r="731" spans="1:5" x14ac:dyDescent="0.25">
      <c r="A731" s="2">
        <v>20190430</v>
      </c>
      <c r="B731" t="str">
        <f t="shared" si="13"/>
        <v>030829</v>
      </c>
      <c r="C731" t="s">
        <v>4</v>
      </c>
      <c r="D731" s="3">
        <v>27.97</v>
      </c>
      <c r="E731" t="s">
        <v>521</v>
      </c>
    </row>
    <row r="732" spans="1:5" x14ac:dyDescent="0.25">
      <c r="A732" s="2">
        <v>20190430</v>
      </c>
      <c r="B732" t="str">
        <f t="shared" si="13"/>
        <v>030829</v>
      </c>
      <c r="C732" t="s">
        <v>4</v>
      </c>
      <c r="D732" s="3">
        <v>89.04</v>
      </c>
      <c r="E732" t="s">
        <v>521</v>
      </c>
    </row>
    <row r="733" spans="1:5" x14ac:dyDescent="0.25">
      <c r="A733" s="2">
        <v>20190430</v>
      </c>
      <c r="B733" t="str">
        <f t="shared" si="13"/>
        <v>030829</v>
      </c>
      <c r="C733" t="s">
        <v>4</v>
      </c>
      <c r="D733" s="3">
        <v>102</v>
      </c>
      <c r="E733" t="s">
        <v>521</v>
      </c>
    </row>
    <row r="734" spans="1:5" x14ac:dyDescent="0.25">
      <c r="A734" s="2">
        <v>20190430</v>
      </c>
      <c r="B734" t="str">
        <f t="shared" si="13"/>
        <v>030829</v>
      </c>
      <c r="C734" t="s">
        <v>4</v>
      </c>
      <c r="D734" s="3">
        <v>87.88</v>
      </c>
      <c r="E734" t="s">
        <v>521</v>
      </c>
    </row>
    <row r="735" spans="1:5" x14ac:dyDescent="0.25">
      <c r="A735" s="2">
        <v>20190430</v>
      </c>
      <c r="B735" t="str">
        <f t="shared" si="13"/>
        <v>030829</v>
      </c>
      <c r="C735" t="s">
        <v>4</v>
      </c>
      <c r="D735" s="3">
        <v>51.6</v>
      </c>
      <c r="E735" t="s">
        <v>521</v>
      </c>
    </row>
    <row r="736" spans="1:5" x14ac:dyDescent="0.25">
      <c r="A736" s="2">
        <v>20190430</v>
      </c>
      <c r="B736" t="str">
        <f t="shared" si="13"/>
        <v>030829</v>
      </c>
      <c r="C736" t="s">
        <v>4</v>
      </c>
      <c r="D736" s="3">
        <v>72</v>
      </c>
      <c r="E736" t="s">
        <v>521</v>
      </c>
    </row>
    <row r="737" spans="1:5" x14ac:dyDescent="0.25">
      <c r="A737" s="2">
        <v>20190430</v>
      </c>
      <c r="B737" t="str">
        <f t="shared" si="13"/>
        <v>030829</v>
      </c>
      <c r="C737" t="s">
        <v>4</v>
      </c>
      <c r="D737" s="3">
        <v>2</v>
      </c>
      <c r="E737" t="s">
        <v>520</v>
      </c>
    </row>
    <row r="738" spans="1:5" x14ac:dyDescent="0.25">
      <c r="A738" s="2">
        <v>20190430</v>
      </c>
      <c r="B738" t="str">
        <f t="shared" si="13"/>
        <v>030829</v>
      </c>
      <c r="C738" t="s">
        <v>4</v>
      </c>
      <c r="D738" s="3">
        <v>2</v>
      </c>
      <c r="E738" t="s">
        <v>520</v>
      </c>
    </row>
    <row r="739" spans="1:5" x14ac:dyDescent="0.25">
      <c r="A739" s="2">
        <v>20190430</v>
      </c>
      <c r="B739" t="str">
        <f t="shared" si="13"/>
        <v>030829</v>
      </c>
      <c r="C739" t="s">
        <v>4</v>
      </c>
      <c r="D739" s="3">
        <v>3</v>
      </c>
      <c r="E739" t="s">
        <v>520</v>
      </c>
    </row>
    <row r="740" spans="1:5" x14ac:dyDescent="0.25">
      <c r="A740" s="2">
        <v>20190430</v>
      </c>
      <c r="B740" t="str">
        <f t="shared" si="13"/>
        <v>030829</v>
      </c>
      <c r="C740" t="s">
        <v>4</v>
      </c>
      <c r="D740" s="3">
        <v>3</v>
      </c>
      <c r="E740" t="s">
        <v>520</v>
      </c>
    </row>
    <row r="741" spans="1:5" x14ac:dyDescent="0.25">
      <c r="A741" s="2">
        <v>20190430</v>
      </c>
      <c r="B741" t="str">
        <f t="shared" si="13"/>
        <v>030829</v>
      </c>
      <c r="C741" t="s">
        <v>4</v>
      </c>
      <c r="D741" s="3">
        <v>60.71</v>
      </c>
      <c r="E741" t="s">
        <v>522</v>
      </c>
    </row>
    <row r="742" spans="1:5" x14ac:dyDescent="0.25">
      <c r="A742" s="2">
        <v>20190430</v>
      </c>
      <c r="B742" t="str">
        <f t="shared" si="13"/>
        <v>030829</v>
      </c>
      <c r="C742" t="s">
        <v>4</v>
      </c>
      <c r="D742" s="3">
        <v>263.86</v>
      </c>
      <c r="E742" t="s">
        <v>523</v>
      </c>
    </row>
    <row r="743" spans="1:5" x14ac:dyDescent="0.25">
      <c r="A743" s="2">
        <v>20190430</v>
      </c>
      <c r="B743" t="str">
        <f t="shared" si="13"/>
        <v>030829</v>
      </c>
      <c r="C743" t="s">
        <v>4</v>
      </c>
      <c r="D743" s="3">
        <v>263.86</v>
      </c>
      <c r="E743" t="s">
        <v>523</v>
      </c>
    </row>
    <row r="744" spans="1:5" x14ac:dyDescent="0.25">
      <c r="A744" s="2">
        <v>20190430</v>
      </c>
      <c r="B744" t="str">
        <f t="shared" si="13"/>
        <v>030829</v>
      </c>
      <c r="C744" t="s">
        <v>4</v>
      </c>
      <c r="D744" s="3">
        <v>55.48</v>
      </c>
      <c r="E744" t="s">
        <v>524</v>
      </c>
    </row>
    <row r="745" spans="1:5" x14ac:dyDescent="0.25">
      <c r="A745" s="2">
        <v>20190430</v>
      </c>
      <c r="B745" t="str">
        <f t="shared" si="13"/>
        <v>030829</v>
      </c>
      <c r="C745" t="s">
        <v>4</v>
      </c>
      <c r="D745" s="3">
        <v>43.87</v>
      </c>
      <c r="E745" t="s">
        <v>524</v>
      </c>
    </row>
    <row r="746" spans="1:5" x14ac:dyDescent="0.25">
      <c r="A746" s="2">
        <v>20190430</v>
      </c>
      <c r="B746" t="str">
        <f t="shared" si="13"/>
        <v>030829</v>
      </c>
      <c r="C746" t="s">
        <v>4</v>
      </c>
      <c r="D746" s="3">
        <v>56</v>
      </c>
      <c r="E746" t="s">
        <v>524</v>
      </c>
    </row>
    <row r="747" spans="1:5" x14ac:dyDescent="0.25">
      <c r="A747" s="2">
        <v>20190430</v>
      </c>
      <c r="B747" t="str">
        <f t="shared" si="13"/>
        <v>030829</v>
      </c>
      <c r="C747" t="s">
        <v>4</v>
      </c>
      <c r="D747" s="3">
        <v>36.29</v>
      </c>
      <c r="E747" t="s">
        <v>525</v>
      </c>
    </row>
    <row r="748" spans="1:5" x14ac:dyDescent="0.25">
      <c r="A748" s="2">
        <v>20190430</v>
      </c>
      <c r="B748" t="str">
        <f t="shared" si="13"/>
        <v>030829</v>
      </c>
      <c r="C748" t="s">
        <v>4</v>
      </c>
      <c r="D748" s="3">
        <v>116.99</v>
      </c>
      <c r="E748" t="s">
        <v>525</v>
      </c>
    </row>
    <row r="749" spans="1:5" x14ac:dyDescent="0.25">
      <c r="A749" s="2">
        <v>20190430</v>
      </c>
      <c r="B749" t="str">
        <f>"030830"</f>
        <v>030830</v>
      </c>
      <c r="C749" t="s">
        <v>432</v>
      </c>
      <c r="D749" s="3">
        <v>50</v>
      </c>
      <c r="E749" t="s">
        <v>526</v>
      </c>
    </row>
    <row r="750" spans="1:5" x14ac:dyDescent="0.25">
      <c r="A750" s="2">
        <v>20190430</v>
      </c>
      <c r="B750" t="str">
        <f>"030830"</f>
        <v>030830</v>
      </c>
      <c r="C750" t="s">
        <v>432</v>
      </c>
      <c r="D750" s="3">
        <v>50</v>
      </c>
      <c r="E750" t="s">
        <v>526</v>
      </c>
    </row>
    <row r="751" spans="1:5" x14ac:dyDescent="0.25">
      <c r="A751" s="2">
        <v>20190430</v>
      </c>
      <c r="B751" t="str">
        <f>"030830"</f>
        <v>030830</v>
      </c>
      <c r="C751" t="s">
        <v>432</v>
      </c>
      <c r="D751" s="3">
        <v>50</v>
      </c>
      <c r="E751" t="s">
        <v>526</v>
      </c>
    </row>
    <row r="752" spans="1:5" x14ac:dyDescent="0.25">
      <c r="A752" s="2">
        <v>20190430</v>
      </c>
      <c r="B752" t="str">
        <f>"030831"</f>
        <v>030831</v>
      </c>
      <c r="C752" t="s">
        <v>527</v>
      </c>
      <c r="D752" s="3">
        <v>123.75</v>
      </c>
      <c r="E752" t="s">
        <v>528</v>
      </c>
    </row>
    <row r="753" spans="1:5" x14ac:dyDescent="0.25">
      <c r="A753" s="2">
        <v>20190430</v>
      </c>
      <c r="B753" t="str">
        <f>"030833"</f>
        <v>030833</v>
      </c>
      <c r="C753" t="s">
        <v>62</v>
      </c>
      <c r="D753" s="3">
        <v>20.56</v>
      </c>
      <c r="E753" t="s">
        <v>160</v>
      </c>
    </row>
    <row r="754" spans="1:5" x14ac:dyDescent="0.25">
      <c r="A754" s="2">
        <v>20190430</v>
      </c>
      <c r="B754" t="str">
        <f>"030834"</f>
        <v>030834</v>
      </c>
      <c r="C754" t="s">
        <v>258</v>
      </c>
      <c r="D754" s="3">
        <v>64.5</v>
      </c>
      <c r="E754" t="s">
        <v>529</v>
      </c>
    </row>
    <row r="755" spans="1:5" x14ac:dyDescent="0.25">
      <c r="A755" s="2">
        <v>20190430</v>
      </c>
      <c r="B755" t="str">
        <f>"030834"</f>
        <v>030834</v>
      </c>
      <c r="C755" t="s">
        <v>258</v>
      </c>
      <c r="D755" s="3">
        <v>99.5</v>
      </c>
      <c r="E755" t="s">
        <v>530</v>
      </c>
    </row>
    <row r="756" spans="1:5" x14ac:dyDescent="0.25">
      <c r="A756" s="2">
        <v>20190430</v>
      </c>
      <c r="B756" t="str">
        <f>"030834"</f>
        <v>030834</v>
      </c>
      <c r="C756" t="s">
        <v>258</v>
      </c>
      <c r="D756" s="3">
        <v>102.5</v>
      </c>
      <c r="E756" t="s">
        <v>531</v>
      </c>
    </row>
    <row r="757" spans="1:5" x14ac:dyDescent="0.25">
      <c r="A757" s="2">
        <v>20190430</v>
      </c>
      <c r="B757" t="str">
        <f>"030835"</f>
        <v>030835</v>
      </c>
      <c r="C757" t="s">
        <v>125</v>
      </c>
      <c r="D757" s="3">
        <v>1290</v>
      </c>
      <c r="E757" t="s">
        <v>126</v>
      </c>
    </row>
    <row r="758" spans="1:5" x14ac:dyDescent="0.25">
      <c r="A758" s="2"/>
      <c r="C758" s="11" t="s">
        <v>756</v>
      </c>
      <c r="D758" s="21">
        <f>SUM(D662:D757)</f>
        <v>30932.560000000001</v>
      </c>
    </row>
    <row r="759" spans="1:5" x14ac:dyDescent="0.25">
      <c r="A759" s="2">
        <v>20190508</v>
      </c>
      <c r="B759" t="str">
        <f>"030836"</f>
        <v>030836</v>
      </c>
      <c r="C759" t="s">
        <v>40</v>
      </c>
      <c r="D759" s="3">
        <v>558.62</v>
      </c>
      <c r="E759" t="s">
        <v>41</v>
      </c>
    </row>
    <row r="760" spans="1:5" x14ac:dyDescent="0.25">
      <c r="A760" s="2">
        <v>20190508</v>
      </c>
      <c r="B760" t="str">
        <f>"030837"</f>
        <v>030837</v>
      </c>
      <c r="C760" t="s">
        <v>532</v>
      </c>
      <c r="D760" s="3">
        <v>617.64</v>
      </c>
      <c r="E760" t="s">
        <v>533</v>
      </c>
    </row>
    <row r="761" spans="1:5" x14ac:dyDescent="0.25">
      <c r="A761" s="2">
        <v>20190508</v>
      </c>
      <c r="B761" t="str">
        <f>"030838"</f>
        <v>030838</v>
      </c>
      <c r="C761" t="s">
        <v>319</v>
      </c>
      <c r="D761" s="3">
        <v>2650</v>
      </c>
      <c r="E761" t="s">
        <v>534</v>
      </c>
    </row>
    <row r="762" spans="1:5" x14ac:dyDescent="0.25">
      <c r="A762" s="2">
        <v>20190508</v>
      </c>
      <c r="B762" t="str">
        <f>"030839"</f>
        <v>030839</v>
      </c>
      <c r="C762" t="s">
        <v>140</v>
      </c>
      <c r="D762" s="3">
        <v>162.65</v>
      </c>
      <c r="E762" t="s">
        <v>535</v>
      </c>
    </row>
    <row r="763" spans="1:5" x14ac:dyDescent="0.25">
      <c r="A763" s="2">
        <v>20190508</v>
      </c>
      <c r="B763" t="str">
        <f>"030839"</f>
        <v>030839</v>
      </c>
      <c r="C763" t="s">
        <v>140</v>
      </c>
      <c r="D763" s="3">
        <v>33</v>
      </c>
      <c r="E763" t="s">
        <v>536</v>
      </c>
    </row>
    <row r="764" spans="1:5" x14ac:dyDescent="0.25">
      <c r="A764" s="2">
        <v>20190508</v>
      </c>
      <c r="B764" t="str">
        <f>"030839"</f>
        <v>030839</v>
      </c>
      <c r="C764" t="s">
        <v>140</v>
      </c>
      <c r="D764" s="3">
        <v>52</v>
      </c>
      <c r="E764" t="s">
        <v>537</v>
      </c>
    </row>
    <row r="765" spans="1:5" x14ac:dyDescent="0.25">
      <c r="A765" s="2">
        <v>20190508</v>
      </c>
      <c r="B765" t="str">
        <f>"030840"</f>
        <v>030840</v>
      </c>
      <c r="C765" t="s">
        <v>2</v>
      </c>
      <c r="D765" s="3">
        <v>68.540000000000006</v>
      </c>
      <c r="E765" t="s">
        <v>538</v>
      </c>
    </row>
    <row r="766" spans="1:5" x14ac:dyDescent="0.25">
      <c r="A766" s="2">
        <v>20190508</v>
      </c>
      <c r="B766" t="str">
        <f>"030840"</f>
        <v>030840</v>
      </c>
      <c r="C766" t="s">
        <v>2</v>
      </c>
      <c r="D766" s="3">
        <v>25.65</v>
      </c>
      <c r="E766" t="s">
        <v>539</v>
      </c>
    </row>
    <row r="767" spans="1:5" x14ac:dyDescent="0.25">
      <c r="A767" s="2">
        <v>20190508</v>
      </c>
      <c r="B767" t="str">
        <f>"030840"</f>
        <v>030840</v>
      </c>
      <c r="C767" t="s">
        <v>2</v>
      </c>
      <c r="D767" s="3">
        <v>177.67</v>
      </c>
      <c r="E767" t="s">
        <v>540</v>
      </c>
    </row>
    <row r="768" spans="1:5" x14ac:dyDescent="0.25">
      <c r="A768" s="2">
        <v>20190508</v>
      </c>
      <c r="B768" t="str">
        <f>"030842"</f>
        <v>030842</v>
      </c>
      <c r="C768" t="s">
        <v>147</v>
      </c>
      <c r="D768" s="3">
        <v>463.73</v>
      </c>
      <c r="E768" t="s">
        <v>148</v>
      </c>
    </row>
    <row r="769" spans="1:5" x14ac:dyDescent="0.25">
      <c r="A769" s="2">
        <v>20190508</v>
      </c>
      <c r="B769" t="str">
        <f>"030843"</f>
        <v>030843</v>
      </c>
      <c r="C769" t="s">
        <v>4</v>
      </c>
      <c r="D769" s="3">
        <v>134.47</v>
      </c>
      <c r="E769" t="s">
        <v>525</v>
      </c>
    </row>
    <row r="770" spans="1:5" x14ac:dyDescent="0.25">
      <c r="A770" s="2">
        <v>20190508</v>
      </c>
      <c r="B770" t="str">
        <f>"030843"</f>
        <v>030843</v>
      </c>
      <c r="C770" t="s">
        <v>4</v>
      </c>
      <c r="D770" s="3">
        <v>676.68</v>
      </c>
      <c r="E770" t="s">
        <v>541</v>
      </c>
    </row>
    <row r="771" spans="1:5" x14ac:dyDescent="0.25">
      <c r="A771" s="2">
        <v>20190508</v>
      </c>
      <c r="B771" t="str">
        <f>"030844"</f>
        <v>030844</v>
      </c>
      <c r="C771" t="s">
        <v>106</v>
      </c>
      <c r="D771" s="3">
        <v>119.96</v>
      </c>
      <c r="E771" t="s">
        <v>542</v>
      </c>
    </row>
    <row r="772" spans="1:5" x14ac:dyDescent="0.25">
      <c r="A772" s="2">
        <v>20190508</v>
      </c>
      <c r="B772" t="str">
        <f>"030844"</f>
        <v>030844</v>
      </c>
      <c r="C772" t="s">
        <v>106</v>
      </c>
      <c r="D772" s="3">
        <v>16.98</v>
      </c>
      <c r="E772" t="s">
        <v>543</v>
      </c>
    </row>
    <row r="773" spans="1:5" x14ac:dyDescent="0.25">
      <c r="A773" s="2">
        <v>20190508</v>
      </c>
      <c r="B773" t="str">
        <f>"030844"</f>
        <v>030844</v>
      </c>
      <c r="C773" t="s">
        <v>106</v>
      </c>
      <c r="D773" s="3">
        <v>71.98</v>
      </c>
      <c r="E773" t="s">
        <v>543</v>
      </c>
    </row>
    <row r="774" spans="1:5" x14ac:dyDescent="0.25">
      <c r="A774" s="2">
        <v>20190508</v>
      </c>
      <c r="B774" t="str">
        <f>"030845"</f>
        <v>030845</v>
      </c>
      <c r="C774" t="s">
        <v>324</v>
      </c>
      <c r="D774" s="3">
        <v>24</v>
      </c>
      <c r="E774" t="s">
        <v>544</v>
      </c>
    </row>
    <row r="775" spans="1:5" x14ac:dyDescent="0.25">
      <c r="A775" s="2">
        <v>20190508</v>
      </c>
      <c r="B775" t="str">
        <f>"030846"</f>
        <v>030846</v>
      </c>
      <c r="C775" t="s">
        <v>11</v>
      </c>
      <c r="D775" s="3">
        <v>70</v>
      </c>
      <c r="E775" t="s">
        <v>545</v>
      </c>
    </row>
    <row r="776" spans="1:5" x14ac:dyDescent="0.25">
      <c r="A776" s="2">
        <v>20190508</v>
      </c>
      <c r="B776" t="str">
        <f>"030847"</f>
        <v>030847</v>
      </c>
      <c r="C776" t="s">
        <v>497</v>
      </c>
      <c r="D776" s="3">
        <v>522.5</v>
      </c>
      <c r="E776" t="s">
        <v>232</v>
      </c>
    </row>
    <row r="777" spans="1:5" x14ac:dyDescent="0.25">
      <c r="A777" s="2">
        <v>20190522</v>
      </c>
      <c r="B777" t="str">
        <f>"030851"</f>
        <v>030851</v>
      </c>
      <c r="C777" t="s">
        <v>546</v>
      </c>
      <c r="D777" s="3">
        <v>2600</v>
      </c>
      <c r="E777" t="s">
        <v>547</v>
      </c>
    </row>
    <row r="778" spans="1:5" x14ac:dyDescent="0.25">
      <c r="A778" s="2">
        <v>20190522</v>
      </c>
      <c r="B778" t="str">
        <f>"030852"</f>
        <v>030852</v>
      </c>
      <c r="C778" t="s">
        <v>359</v>
      </c>
      <c r="D778" s="3">
        <v>100</v>
      </c>
      <c r="E778" t="s">
        <v>548</v>
      </c>
    </row>
    <row r="779" spans="1:5" x14ac:dyDescent="0.25">
      <c r="A779" s="2">
        <v>20190522</v>
      </c>
      <c r="B779" t="str">
        <f>"030852"</f>
        <v>030852</v>
      </c>
      <c r="C779" t="s">
        <v>359</v>
      </c>
      <c r="D779" s="3">
        <v>100</v>
      </c>
      <c r="E779" t="s">
        <v>548</v>
      </c>
    </row>
    <row r="780" spans="1:5" x14ac:dyDescent="0.25">
      <c r="A780" s="2">
        <v>20190522</v>
      </c>
      <c r="B780" t="str">
        <f>"030853"</f>
        <v>030853</v>
      </c>
      <c r="C780" t="s">
        <v>129</v>
      </c>
      <c r="D780" s="3">
        <v>114.06</v>
      </c>
      <c r="E780" t="s">
        <v>130</v>
      </c>
    </row>
    <row r="781" spans="1:5" x14ac:dyDescent="0.25">
      <c r="A781" s="2">
        <v>20190522</v>
      </c>
      <c r="B781" t="str">
        <f>"030854"</f>
        <v>030854</v>
      </c>
      <c r="C781" t="s">
        <v>75</v>
      </c>
      <c r="D781" s="3">
        <v>480</v>
      </c>
      <c r="E781" t="s">
        <v>549</v>
      </c>
    </row>
    <row r="782" spans="1:5" x14ac:dyDescent="0.25">
      <c r="A782" s="2">
        <v>20190522</v>
      </c>
      <c r="B782" t="str">
        <f>"030855"</f>
        <v>030855</v>
      </c>
      <c r="C782" t="s">
        <v>550</v>
      </c>
      <c r="D782" s="3">
        <v>175.1</v>
      </c>
      <c r="E782" t="s">
        <v>551</v>
      </c>
    </row>
    <row r="783" spans="1:5" x14ac:dyDescent="0.25">
      <c r="A783" s="2">
        <v>20190522</v>
      </c>
      <c r="B783" t="str">
        <f>"030856"</f>
        <v>030856</v>
      </c>
      <c r="C783" t="s">
        <v>81</v>
      </c>
      <c r="D783" s="3">
        <v>202.46</v>
      </c>
      <c r="E783" t="s">
        <v>82</v>
      </c>
    </row>
    <row r="784" spans="1:5" x14ac:dyDescent="0.25">
      <c r="A784" s="2">
        <v>20190522</v>
      </c>
      <c r="B784" t="str">
        <f>"030856"</f>
        <v>030856</v>
      </c>
      <c r="C784" t="s">
        <v>81</v>
      </c>
      <c r="D784" s="3">
        <v>213.94</v>
      </c>
      <c r="E784" t="s">
        <v>82</v>
      </c>
    </row>
    <row r="785" spans="1:5" x14ac:dyDescent="0.25">
      <c r="A785" s="2">
        <v>20190522</v>
      </c>
      <c r="B785" t="str">
        <f>"030856"</f>
        <v>030856</v>
      </c>
      <c r="C785" t="s">
        <v>81</v>
      </c>
      <c r="D785" s="3">
        <v>67.489999999999995</v>
      </c>
      <c r="E785" t="s">
        <v>82</v>
      </c>
    </row>
    <row r="786" spans="1:5" x14ac:dyDescent="0.25">
      <c r="A786" s="2">
        <v>20190522</v>
      </c>
      <c r="B786" t="str">
        <f>"030856"</f>
        <v>030856</v>
      </c>
      <c r="C786" t="s">
        <v>81</v>
      </c>
      <c r="D786" s="3">
        <v>67.489999999999995</v>
      </c>
      <c r="E786" t="s">
        <v>82</v>
      </c>
    </row>
    <row r="787" spans="1:5" x14ac:dyDescent="0.25">
      <c r="A787" s="2">
        <v>20190522</v>
      </c>
      <c r="B787" t="str">
        <f>"030857"</f>
        <v>030857</v>
      </c>
      <c r="C787" t="s">
        <v>394</v>
      </c>
      <c r="D787" s="3">
        <v>572.39</v>
      </c>
      <c r="E787" t="s">
        <v>552</v>
      </c>
    </row>
    <row r="788" spans="1:5" x14ac:dyDescent="0.25">
      <c r="A788" s="2">
        <v>20190522</v>
      </c>
      <c r="B788" t="str">
        <f>"030858"</f>
        <v>030858</v>
      </c>
      <c r="C788" t="s">
        <v>553</v>
      </c>
      <c r="D788" s="3">
        <v>1050</v>
      </c>
      <c r="E788" t="s">
        <v>554</v>
      </c>
    </row>
    <row r="789" spans="1:5" x14ac:dyDescent="0.25">
      <c r="A789" s="2">
        <v>20190522</v>
      </c>
      <c r="B789" t="str">
        <f>"030859"</f>
        <v>030859</v>
      </c>
      <c r="C789" t="s">
        <v>555</v>
      </c>
      <c r="D789" s="3">
        <v>180.29</v>
      </c>
      <c r="E789" t="s">
        <v>556</v>
      </c>
    </row>
    <row r="790" spans="1:5" x14ac:dyDescent="0.25">
      <c r="A790" s="2">
        <v>20190522</v>
      </c>
      <c r="B790" t="str">
        <f>"030860"</f>
        <v>030860</v>
      </c>
      <c r="C790" t="s">
        <v>138</v>
      </c>
      <c r="D790" s="3">
        <v>1171.77</v>
      </c>
      <c r="E790" t="s">
        <v>139</v>
      </c>
    </row>
    <row r="791" spans="1:5" x14ac:dyDescent="0.25">
      <c r="A791" s="2">
        <v>20190522</v>
      </c>
      <c r="B791" t="str">
        <f>"030861"</f>
        <v>030861</v>
      </c>
      <c r="C791" t="s">
        <v>449</v>
      </c>
      <c r="D791" s="3">
        <v>132.47999999999999</v>
      </c>
      <c r="E791" t="s">
        <v>39</v>
      </c>
    </row>
    <row r="792" spans="1:5" x14ac:dyDescent="0.25">
      <c r="A792" s="2">
        <v>20190522</v>
      </c>
      <c r="B792" t="str">
        <f>"030862"</f>
        <v>030862</v>
      </c>
      <c r="C792" t="s">
        <v>557</v>
      </c>
      <c r="D792" s="3">
        <v>25</v>
      </c>
      <c r="E792" t="s">
        <v>558</v>
      </c>
    </row>
    <row r="793" spans="1:5" x14ac:dyDescent="0.25">
      <c r="A793" s="2">
        <v>20190522</v>
      </c>
      <c r="B793" t="str">
        <f>"030863"</f>
        <v>030863</v>
      </c>
      <c r="C793" t="s">
        <v>559</v>
      </c>
      <c r="D793" s="3">
        <v>1461.25</v>
      </c>
      <c r="E793" t="s">
        <v>560</v>
      </c>
    </row>
    <row r="794" spans="1:5" x14ac:dyDescent="0.25">
      <c r="A794" s="2">
        <v>20190522</v>
      </c>
      <c r="B794" t="str">
        <f>"030866"</f>
        <v>030866</v>
      </c>
      <c r="C794" t="s">
        <v>91</v>
      </c>
      <c r="D794" s="3">
        <v>1340.2</v>
      </c>
      <c r="E794" t="s">
        <v>561</v>
      </c>
    </row>
    <row r="795" spans="1:5" x14ac:dyDescent="0.25">
      <c r="A795" s="2">
        <v>20190522</v>
      </c>
      <c r="B795" t="str">
        <f t="shared" ref="B795:B804" si="14">"030867"</f>
        <v>030867</v>
      </c>
      <c r="C795" t="s">
        <v>4</v>
      </c>
      <c r="D795" s="3">
        <v>90.44</v>
      </c>
      <c r="E795" t="s">
        <v>562</v>
      </c>
    </row>
    <row r="796" spans="1:5" x14ac:dyDescent="0.25">
      <c r="A796" s="2">
        <v>20190522</v>
      </c>
      <c r="B796" t="str">
        <f t="shared" si="14"/>
        <v>030867</v>
      </c>
      <c r="C796" t="s">
        <v>4</v>
      </c>
      <c r="D796" s="3">
        <v>115.27</v>
      </c>
      <c r="E796" t="s">
        <v>563</v>
      </c>
    </row>
    <row r="797" spans="1:5" x14ac:dyDescent="0.25">
      <c r="A797" s="2">
        <v>20190522</v>
      </c>
      <c r="B797" t="str">
        <f t="shared" si="14"/>
        <v>030867</v>
      </c>
      <c r="C797" t="s">
        <v>4</v>
      </c>
      <c r="D797" s="3">
        <v>220</v>
      </c>
      <c r="E797" t="s">
        <v>564</v>
      </c>
    </row>
    <row r="798" spans="1:5" x14ac:dyDescent="0.25">
      <c r="A798" s="2">
        <v>20190522</v>
      </c>
      <c r="B798" t="str">
        <f t="shared" si="14"/>
        <v>030867</v>
      </c>
      <c r="C798" t="s">
        <v>4</v>
      </c>
      <c r="D798" s="3">
        <v>87.37</v>
      </c>
      <c r="E798" t="s">
        <v>565</v>
      </c>
    </row>
    <row r="799" spans="1:5" x14ac:dyDescent="0.25">
      <c r="A799" s="2">
        <v>20190522</v>
      </c>
      <c r="B799" t="str">
        <f t="shared" si="14"/>
        <v>030867</v>
      </c>
      <c r="C799" t="s">
        <v>4</v>
      </c>
      <c r="D799" s="3">
        <v>7.78</v>
      </c>
      <c r="E799" t="s">
        <v>566</v>
      </c>
    </row>
    <row r="800" spans="1:5" x14ac:dyDescent="0.25">
      <c r="A800" s="2">
        <v>20190522</v>
      </c>
      <c r="B800" t="str">
        <f t="shared" si="14"/>
        <v>030867</v>
      </c>
      <c r="C800" t="s">
        <v>4</v>
      </c>
      <c r="D800" s="3">
        <v>14.94</v>
      </c>
      <c r="E800" t="s">
        <v>567</v>
      </c>
    </row>
    <row r="801" spans="1:5" x14ac:dyDescent="0.25">
      <c r="A801" s="2">
        <v>20190522</v>
      </c>
      <c r="B801" t="str">
        <f t="shared" si="14"/>
        <v>030867</v>
      </c>
      <c r="C801" t="s">
        <v>4</v>
      </c>
      <c r="D801" s="3">
        <v>26.4</v>
      </c>
      <c r="E801" t="s">
        <v>567</v>
      </c>
    </row>
    <row r="802" spans="1:5" x14ac:dyDescent="0.25">
      <c r="A802" s="2">
        <v>20190522</v>
      </c>
      <c r="B802" t="str">
        <f t="shared" si="14"/>
        <v>030867</v>
      </c>
      <c r="C802" t="s">
        <v>4</v>
      </c>
      <c r="D802" s="3">
        <v>74.680000000000007</v>
      </c>
      <c r="E802" t="s">
        <v>567</v>
      </c>
    </row>
    <row r="803" spans="1:5" x14ac:dyDescent="0.25">
      <c r="A803" s="2">
        <v>20190522</v>
      </c>
      <c r="B803" t="str">
        <f t="shared" si="14"/>
        <v>030867</v>
      </c>
      <c r="C803" t="s">
        <v>4</v>
      </c>
      <c r="D803" s="3">
        <v>144.56</v>
      </c>
      <c r="E803" t="s">
        <v>567</v>
      </c>
    </row>
    <row r="804" spans="1:5" x14ac:dyDescent="0.25">
      <c r="A804" s="2">
        <v>20190522</v>
      </c>
      <c r="B804" t="str">
        <f t="shared" si="14"/>
        <v>030867</v>
      </c>
      <c r="C804" t="s">
        <v>4</v>
      </c>
      <c r="D804" s="3">
        <v>27</v>
      </c>
      <c r="E804" t="s">
        <v>568</v>
      </c>
    </row>
    <row r="805" spans="1:5" x14ac:dyDescent="0.25">
      <c r="A805" s="2">
        <v>20190522</v>
      </c>
      <c r="B805" t="str">
        <f>"030868"</f>
        <v>030868</v>
      </c>
      <c r="C805" t="s">
        <v>55</v>
      </c>
      <c r="D805" s="3">
        <v>52.98</v>
      </c>
      <c r="E805" t="s">
        <v>569</v>
      </c>
    </row>
    <row r="806" spans="1:5" x14ac:dyDescent="0.25">
      <c r="A806" s="2">
        <v>20190522</v>
      </c>
      <c r="B806" t="str">
        <f>"030868"</f>
        <v>030868</v>
      </c>
      <c r="C806" t="s">
        <v>55</v>
      </c>
      <c r="D806" s="3">
        <v>14.71</v>
      </c>
      <c r="E806" t="s">
        <v>569</v>
      </c>
    </row>
    <row r="807" spans="1:5" x14ac:dyDescent="0.25">
      <c r="A807" s="2">
        <v>20190522</v>
      </c>
      <c r="B807" t="str">
        <f>"030869"</f>
        <v>030869</v>
      </c>
      <c r="C807" t="s">
        <v>432</v>
      </c>
      <c r="D807" s="3">
        <v>37.67</v>
      </c>
      <c r="E807" t="s">
        <v>526</v>
      </c>
    </row>
    <row r="808" spans="1:5" x14ac:dyDescent="0.25">
      <c r="A808" s="2">
        <v>20190522</v>
      </c>
      <c r="B808" t="str">
        <f>"030869"</f>
        <v>030869</v>
      </c>
      <c r="C808" t="s">
        <v>432</v>
      </c>
      <c r="D808" s="3">
        <v>37.67</v>
      </c>
      <c r="E808" t="s">
        <v>526</v>
      </c>
    </row>
    <row r="809" spans="1:5" x14ac:dyDescent="0.25">
      <c r="A809" s="2">
        <v>20190522</v>
      </c>
      <c r="B809" t="str">
        <f>"030869"</f>
        <v>030869</v>
      </c>
      <c r="C809" t="s">
        <v>432</v>
      </c>
      <c r="D809" s="3">
        <v>37.68</v>
      </c>
      <c r="E809" t="s">
        <v>526</v>
      </c>
    </row>
    <row r="810" spans="1:5" x14ac:dyDescent="0.25">
      <c r="A810" s="2">
        <v>20190522</v>
      </c>
      <c r="B810" t="str">
        <f>"030870"</f>
        <v>030870</v>
      </c>
      <c r="C810" t="s">
        <v>377</v>
      </c>
      <c r="D810" s="3">
        <v>18.989999999999998</v>
      </c>
      <c r="E810" t="s">
        <v>378</v>
      </c>
    </row>
    <row r="811" spans="1:5" x14ac:dyDescent="0.25">
      <c r="A811" s="2">
        <v>20190522</v>
      </c>
      <c r="B811" t="str">
        <f>"030870"</f>
        <v>030870</v>
      </c>
      <c r="C811" t="s">
        <v>377</v>
      </c>
      <c r="D811" s="3">
        <v>18.989999999999998</v>
      </c>
      <c r="E811" t="s">
        <v>378</v>
      </c>
    </row>
    <row r="812" spans="1:5" x14ac:dyDescent="0.25">
      <c r="A812" s="2">
        <v>20190522</v>
      </c>
      <c r="B812" t="str">
        <f>"030870"</f>
        <v>030870</v>
      </c>
      <c r="C812" t="s">
        <v>377</v>
      </c>
      <c r="D812" s="3">
        <v>18.989999999999998</v>
      </c>
      <c r="E812" t="s">
        <v>378</v>
      </c>
    </row>
    <row r="813" spans="1:5" x14ac:dyDescent="0.25">
      <c r="A813" s="2">
        <v>20190522</v>
      </c>
      <c r="B813" t="str">
        <f>"030871"</f>
        <v>030871</v>
      </c>
      <c r="C813" t="s">
        <v>109</v>
      </c>
      <c r="D813" s="3">
        <v>1703.34</v>
      </c>
      <c r="E813" t="s">
        <v>570</v>
      </c>
    </row>
    <row r="814" spans="1:5" x14ac:dyDescent="0.25">
      <c r="A814" s="2">
        <v>20190522</v>
      </c>
      <c r="B814" t="str">
        <f>"030872"</f>
        <v>030872</v>
      </c>
      <c r="C814" t="s">
        <v>11</v>
      </c>
      <c r="D814" s="3">
        <v>500</v>
      </c>
      <c r="E814" t="s">
        <v>571</v>
      </c>
    </row>
    <row r="815" spans="1:5" x14ac:dyDescent="0.25">
      <c r="A815" s="2">
        <v>20190522</v>
      </c>
      <c r="B815" t="str">
        <f>"030873"</f>
        <v>030873</v>
      </c>
      <c r="C815" t="s">
        <v>572</v>
      </c>
      <c r="D815" s="3">
        <v>752.19</v>
      </c>
      <c r="E815" t="s">
        <v>573</v>
      </c>
    </row>
    <row r="816" spans="1:5" x14ac:dyDescent="0.25">
      <c r="A816" s="2">
        <v>20190522</v>
      </c>
      <c r="B816" t="str">
        <f>"030874"</f>
        <v>030874</v>
      </c>
      <c r="C816" t="s">
        <v>221</v>
      </c>
      <c r="D816" s="3">
        <v>67.5</v>
      </c>
      <c r="E816" t="s">
        <v>574</v>
      </c>
    </row>
    <row r="817" spans="1:5" x14ac:dyDescent="0.25">
      <c r="A817" s="2">
        <v>20190522</v>
      </c>
      <c r="B817" t="str">
        <f>"030875"</f>
        <v>030875</v>
      </c>
      <c r="C817" t="s">
        <v>163</v>
      </c>
      <c r="D817" s="3">
        <v>230.88</v>
      </c>
      <c r="E817" t="s">
        <v>164</v>
      </c>
    </row>
    <row r="818" spans="1:5" x14ac:dyDescent="0.25">
      <c r="A818" s="2">
        <v>20190522</v>
      </c>
      <c r="B818" t="str">
        <f>"030876"</f>
        <v>030876</v>
      </c>
      <c r="C818" t="s">
        <v>464</v>
      </c>
      <c r="D818" s="3">
        <v>480</v>
      </c>
      <c r="E818" t="s">
        <v>575</v>
      </c>
    </row>
    <row r="819" spans="1:5" x14ac:dyDescent="0.25">
      <c r="A819" s="2"/>
      <c r="C819" s="11" t="s">
        <v>755</v>
      </c>
      <c r="D819" s="21">
        <f>SUM(D759:D818)</f>
        <v>21280.019999999997</v>
      </c>
    </row>
    <row r="820" spans="1:5" x14ac:dyDescent="0.25">
      <c r="A820" s="2">
        <v>20190606</v>
      </c>
      <c r="B820" t="str">
        <f>"030878"</f>
        <v>030878</v>
      </c>
      <c r="C820" t="s">
        <v>4</v>
      </c>
      <c r="D820" s="3">
        <v>40.78</v>
      </c>
      <c r="E820" t="s">
        <v>576</v>
      </c>
    </row>
    <row r="821" spans="1:5" x14ac:dyDescent="0.25">
      <c r="A821" s="2">
        <v>20190606</v>
      </c>
      <c r="B821" t="str">
        <f>"030878"</f>
        <v>030878</v>
      </c>
      <c r="C821" t="s">
        <v>4</v>
      </c>
      <c r="D821" s="3">
        <v>29.77</v>
      </c>
      <c r="E821" t="s">
        <v>577</v>
      </c>
    </row>
    <row r="822" spans="1:5" x14ac:dyDescent="0.25">
      <c r="A822" s="2">
        <v>20190606</v>
      </c>
      <c r="B822" t="str">
        <f>"030878"</f>
        <v>030878</v>
      </c>
      <c r="C822" t="s">
        <v>4</v>
      </c>
      <c r="D822" s="3">
        <v>79.11</v>
      </c>
      <c r="E822" t="s">
        <v>577</v>
      </c>
    </row>
    <row r="823" spans="1:5" x14ac:dyDescent="0.25">
      <c r="A823" s="2">
        <v>20190606</v>
      </c>
      <c r="B823" t="str">
        <f>"030880"</f>
        <v>030880</v>
      </c>
      <c r="C823" t="s">
        <v>578</v>
      </c>
      <c r="D823" s="3">
        <v>500</v>
      </c>
      <c r="E823" t="s">
        <v>579</v>
      </c>
    </row>
    <row r="824" spans="1:5" x14ac:dyDescent="0.25">
      <c r="A824" s="2">
        <v>20190606</v>
      </c>
      <c r="B824" t="str">
        <f>"030881"</f>
        <v>030881</v>
      </c>
      <c r="C824" t="s">
        <v>580</v>
      </c>
      <c r="D824" s="3">
        <v>18</v>
      </c>
      <c r="E824" t="s">
        <v>581</v>
      </c>
    </row>
    <row r="825" spans="1:5" x14ac:dyDescent="0.25">
      <c r="A825" s="2">
        <v>20190611</v>
      </c>
      <c r="B825" t="str">
        <f>"030882"</f>
        <v>030882</v>
      </c>
      <c r="C825" t="s">
        <v>127</v>
      </c>
      <c r="D825" s="3">
        <v>76.319999999999993</v>
      </c>
      <c r="E825" t="s">
        <v>582</v>
      </c>
    </row>
    <row r="826" spans="1:5" x14ac:dyDescent="0.25">
      <c r="A826" s="2">
        <v>20190611</v>
      </c>
      <c r="B826" t="str">
        <f>"030883"</f>
        <v>030883</v>
      </c>
      <c r="C826" t="s">
        <v>129</v>
      </c>
      <c r="D826" s="3">
        <v>113.91</v>
      </c>
      <c r="E826" t="s">
        <v>130</v>
      </c>
    </row>
    <row r="827" spans="1:5" x14ac:dyDescent="0.25">
      <c r="A827" s="2">
        <v>20190611</v>
      </c>
      <c r="B827" t="str">
        <f>"030884"</f>
        <v>030884</v>
      </c>
      <c r="C827" t="s">
        <v>40</v>
      </c>
      <c r="D827" s="3">
        <v>579.84</v>
      </c>
      <c r="E827" t="s">
        <v>583</v>
      </c>
    </row>
    <row r="828" spans="1:5" x14ac:dyDescent="0.25">
      <c r="A828" s="2">
        <v>20190611</v>
      </c>
      <c r="B828" t="str">
        <f>"030885"</f>
        <v>030885</v>
      </c>
      <c r="C828" t="s">
        <v>42</v>
      </c>
      <c r="D828" s="3">
        <v>4410.5</v>
      </c>
      <c r="E828" t="s">
        <v>43</v>
      </c>
    </row>
    <row r="829" spans="1:5" x14ac:dyDescent="0.25">
      <c r="A829" s="2">
        <v>20190611</v>
      </c>
      <c r="B829" t="str">
        <f>"030886"</f>
        <v>030886</v>
      </c>
      <c r="C829" t="s">
        <v>351</v>
      </c>
      <c r="D829" s="3">
        <v>250</v>
      </c>
      <c r="E829" t="s">
        <v>338</v>
      </c>
    </row>
    <row r="830" spans="1:5" x14ac:dyDescent="0.25">
      <c r="A830" s="2">
        <v>20190611</v>
      </c>
      <c r="B830" t="str">
        <f>"030887"</f>
        <v>030887</v>
      </c>
      <c r="C830" t="s">
        <v>2</v>
      </c>
      <c r="D830" s="3">
        <v>49.09</v>
      </c>
      <c r="E830" t="s">
        <v>584</v>
      </c>
    </row>
    <row r="831" spans="1:5" x14ac:dyDescent="0.25">
      <c r="A831" s="2">
        <v>20190611</v>
      </c>
      <c r="B831" t="str">
        <f>"030887"</f>
        <v>030887</v>
      </c>
      <c r="C831" t="s">
        <v>2</v>
      </c>
      <c r="D831" s="3">
        <v>95.98</v>
      </c>
      <c r="E831" t="s">
        <v>585</v>
      </c>
    </row>
    <row r="832" spans="1:5" x14ac:dyDescent="0.25">
      <c r="A832" s="2">
        <v>20190611</v>
      </c>
      <c r="B832" t="str">
        <f>"030888"</f>
        <v>030888</v>
      </c>
      <c r="C832" t="s">
        <v>147</v>
      </c>
      <c r="D832" s="3">
        <v>403.9</v>
      </c>
      <c r="E832" t="s">
        <v>148</v>
      </c>
    </row>
    <row r="833" spans="1:5" x14ac:dyDescent="0.25">
      <c r="A833" s="2">
        <v>20190611</v>
      </c>
      <c r="B833" t="str">
        <f>"030889"</f>
        <v>030889</v>
      </c>
      <c r="C833" t="s">
        <v>106</v>
      </c>
      <c r="D833" s="3">
        <v>1207.93</v>
      </c>
      <c r="E833" t="s">
        <v>586</v>
      </c>
    </row>
    <row r="834" spans="1:5" x14ac:dyDescent="0.25">
      <c r="A834" s="2">
        <v>20190611</v>
      </c>
      <c r="B834" t="str">
        <f>"030889"</f>
        <v>030889</v>
      </c>
      <c r="C834" t="s">
        <v>106</v>
      </c>
      <c r="D834" s="3">
        <v>120.99</v>
      </c>
      <c r="E834" t="s">
        <v>586</v>
      </c>
    </row>
    <row r="835" spans="1:5" x14ac:dyDescent="0.25">
      <c r="A835" s="2">
        <v>20190611</v>
      </c>
      <c r="B835" t="str">
        <f>"030889"</f>
        <v>030889</v>
      </c>
      <c r="C835" t="s">
        <v>106</v>
      </c>
      <c r="D835" s="3">
        <v>739.91</v>
      </c>
      <c r="E835" t="s">
        <v>586</v>
      </c>
    </row>
    <row r="836" spans="1:5" x14ac:dyDescent="0.25">
      <c r="A836" s="2">
        <v>20190611</v>
      </c>
      <c r="B836" t="str">
        <f>"030890"</f>
        <v>030890</v>
      </c>
      <c r="C836" t="s">
        <v>587</v>
      </c>
      <c r="D836" s="3">
        <v>77.930000000000007</v>
      </c>
      <c r="E836" t="s">
        <v>588</v>
      </c>
    </row>
    <row r="837" spans="1:5" x14ac:dyDescent="0.25">
      <c r="A837" s="2">
        <v>20190611</v>
      </c>
      <c r="B837" t="str">
        <f>"030891"</f>
        <v>030891</v>
      </c>
      <c r="C837" t="s">
        <v>62</v>
      </c>
      <c r="D837" s="3">
        <v>395</v>
      </c>
      <c r="E837" t="s">
        <v>589</v>
      </c>
    </row>
    <row r="838" spans="1:5" x14ac:dyDescent="0.25">
      <c r="A838" s="2">
        <v>20190611</v>
      </c>
      <c r="B838" t="str">
        <f>"030891"</f>
        <v>030891</v>
      </c>
      <c r="C838" t="s">
        <v>62</v>
      </c>
      <c r="D838" s="3">
        <v>395</v>
      </c>
      <c r="E838" t="s">
        <v>589</v>
      </c>
    </row>
    <row r="839" spans="1:5" x14ac:dyDescent="0.25">
      <c r="A839" s="2">
        <v>20190611</v>
      </c>
      <c r="B839" t="str">
        <f>"030891"</f>
        <v>030891</v>
      </c>
      <c r="C839" t="s">
        <v>62</v>
      </c>
      <c r="D839" s="3">
        <v>790</v>
      </c>
      <c r="E839" t="s">
        <v>589</v>
      </c>
    </row>
    <row r="840" spans="1:5" x14ac:dyDescent="0.25">
      <c r="A840" s="2">
        <v>20190611</v>
      </c>
      <c r="B840" t="str">
        <f>"030892"</f>
        <v>030892</v>
      </c>
      <c r="C840" t="s">
        <v>14</v>
      </c>
      <c r="D840" s="3">
        <v>320</v>
      </c>
      <c r="E840" t="s">
        <v>590</v>
      </c>
    </row>
    <row r="841" spans="1:5" x14ac:dyDescent="0.25">
      <c r="A841" s="2">
        <v>20190611</v>
      </c>
      <c r="B841" t="str">
        <f>"030893"</f>
        <v>030893</v>
      </c>
      <c r="C841" t="s">
        <v>14</v>
      </c>
      <c r="D841" s="3">
        <v>1050</v>
      </c>
      <c r="E841" t="s">
        <v>591</v>
      </c>
    </row>
    <row r="842" spans="1:5" x14ac:dyDescent="0.25">
      <c r="A842" s="2">
        <v>20190611</v>
      </c>
      <c r="B842" t="str">
        <f>"030894"</f>
        <v>030894</v>
      </c>
      <c r="C842" t="s">
        <v>337</v>
      </c>
      <c r="D842" s="3">
        <v>250</v>
      </c>
      <c r="E842" t="s">
        <v>338</v>
      </c>
    </row>
    <row r="843" spans="1:5" x14ac:dyDescent="0.25">
      <c r="A843" s="2">
        <v>20190611</v>
      </c>
      <c r="B843" t="str">
        <f>"030895"</f>
        <v>030895</v>
      </c>
      <c r="C843" t="s">
        <v>14</v>
      </c>
      <c r="D843" s="3">
        <v>1050</v>
      </c>
      <c r="E843" t="s">
        <v>591</v>
      </c>
    </row>
    <row r="844" spans="1:5" x14ac:dyDescent="0.25">
      <c r="A844" s="2">
        <v>20190618</v>
      </c>
      <c r="B844" t="str">
        <f>"030897"</f>
        <v>030897</v>
      </c>
      <c r="C844" t="s">
        <v>127</v>
      </c>
      <c r="D844" s="3">
        <v>41.59</v>
      </c>
      <c r="E844" t="s">
        <v>592</v>
      </c>
    </row>
    <row r="845" spans="1:5" x14ac:dyDescent="0.25">
      <c r="A845" s="2">
        <v>20190618</v>
      </c>
      <c r="B845" t="str">
        <f>"030898"</f>
        <v>030898</v>
      </c>
      <c r="C845" t="s">
        <v>477</v>
      </c>
      <c r="D845" s="3">
        <v>38.880000000000003</v>
      </c>
      <c r="E845" t="s">
        <v>518</v>
      </c>
    </row>
    <row r="846" spans="1:5" x14ac:dyDescent="0.25">
      <c r="A846" s="2">
        <v>20190618</v>
      </c>
      <c r="B846" t="str">
        <f>"030900"</f>
        <v>030900</v>
      </c>
      <c r="C846" t="s">
        <v>55</v>
      </c>
      <c r="D846" s="3">
        <v>20.64</v>
      </c>
      <c r="E846" t="s">
        <v>593</v>
      </c>
    </row>
    <row r="847" spans="1:5" x14ac:dyDescent="0.25">
      <c r="A847" s="2">
        <v>20190618</v>
      </c>
      <c r="B847" t="str">
        <f>"030901"</f>
        <v>030901</v>
      </c>
      <c r="C847" t="s">
        <v>252</v>
      </c>
      <c r="D847" s="3">
        <v>18.18</v>
      </c>
      <c r="E847" t="s">
        <v>253</v>
      </c>
    </row>
    <row r="848" spans="1:5" x14ac:dyDescent="0.25">
      <c r="A848" s="2">
        <v>20190618</v>
      </c>
      <c r="B848" t="str">
        <f>"030902"</f>
        <v>030902</v>
      </c>
      <c r="C848" t="s">
        <v>221</v>
      </c>
      <c r="D848" s="3">
        <v>25</v>
      </c>
      <c r="E848" t="s">
        <v>594</v>
      </c>
    </row>
    <row r="849" spans="1:5" x14ac:dyDescent="0.25">
      <c r="A849" s="2">
        <v>20190618</v>
      </c>
      <c r="B849" t="str">
        <f>"030903"</f>
        <v>030903</v>
      </c>
      <c r="C849" t="s">
        <v>595</v>
      </c>
      <c r="D849" s="3">
        <v>35</v>
      </c>
      <c r="E849" t="s">
        <v>596</v>
      </c>
    </row>
    <row r="850" spans="1:5" x14ac:dyDescent="0.25">
      <c r="A850" s="2">
        <v>20190618</v>
      </c>
      <c r="B850" t="str">
        <f>"030903"</f>
        <v>030903</v>
      </c>
      <c r="C850" t="s">
        <v>595</v>
      </c>
      <c r="D850" s="3">
        <v>35</v>
      </c>
      <c r="E850" t="s">
        <v>596</v>
      </c>
    </row>
    <row r="851" spans="1:5" x14ac:dyDescent="0.25">
      <c r="A851" s="2">
        <v>20190618</v>
      </c>
      <c r="B851" t="str">
        <f>"030903"</f>
        <v>030903</v>
      </c>
      <c r="C851" t="s">
        <v>595</v>
      </c>
      <c r="D851" s="3">
        <v>70</v>
      </c>
      <c r="E851" t="s">
        <v>597</v>
      </c>
    </row>
    <row r="852" spans="1:5" x14ac:dyDescent="0.25">
      <c r="A852" s="2">
        <v>20190618</v>
      </c>
      <c r="B852" t="str">
        <f>"030904"</f>
        <v>030904</v>
      </c>
      <c r="C852" t="s">
        <v>163</v>
      </c>
      <c r="D852" s="3">
        <v>230.88</v>
      </c>
      <c r="E852" t="s">
        <v>164</v>
      </c>
    </row>
    <row r="853" spans="1:5" x14ac:dyDescent="0.25">
      <c r="A853" s="2">
        <v>20190618</v>
      </c>
      <c r="B853" t="str">
        <f>"030905"</f>
        <v>030905</v>
      </c>
      <c r="C853" t="s">
        <v>598</v>
      </c>
      <c r="D853" s="3">
        <v>8.0299999999999994</v>
      </c>
      <c r="E853" t="s">
        <v>599</v>
      </c>
    </row>
    <row r="854" spans="1:5" x14ac:dyDescent="0.25">
      <c r="A854" s="2">
        <v>20190618</v>
      </c>
      <c r="B854" t="str">
        <f>"030906"</f>
        <v>030906</v>
      </c>
      <c r="C854" t="s">
        <v>464</v>
      </c>
      <c r="D854" s="3">
        <v>480</v>
      </c>
      <c r="E854" t="s">
        <v>575</v>
      </c>
    </row>
    <row r="855" spans="1:5" x14ac:dyDescent="0.25">
      <c r="A855" s="2">
        <v>20190618</v>
      </c>
      <c r="B855" t="str">
        <f>"030906"</f>
        <v>030906</v>
      </c>
      <c r="C855" t="s">
        <v>464</v>
      </c>
      <c r="D855" s="3">
        <v>350</v>
      </c>
      <c r="E855" t="s">
        <v>575</v>
      </c>
    </row>
    <row r="856" spans="1:5" x14ac:dyDescent="0.25">
      <c r="A856" s="2">
        <v>20190619</v>
      </c>
      <c r="B856" t="str">
        <f>"030907"</f>
        <v>030907</v>
      </c>
      <c r="C856" t="s">
        <v>135</v>
      </c>
      <c r="D856" s="3">
        <v>8933.4599999999991</v>
      </c>
      <c r="E856" t="s">
        <v>136</v>
      </c>
    </row>
    <row r="857" spans="1:5" x14ac:dyDescent="0.25">
      <c r="A857" s="2">
        <v>20190619</v>
      </c>
      <c r="B857" t="str">
        <f>"030908"</f>
        <v>030908</v>
      </c>
      <c r="C857" t="s">
        <v>81</v>
      </c>
      <c r="D857" s="3">
        <v>202.46</v>
      </c>
      <c r="E857" t="s">
        <v>82</v>
      </c>
    </row>
    <row r="858" spans="1:5" x14ac:dyDescent="0.25">
      <c r="A858" s="2">
        <v>20190619</v>
      </c>
      <c r="B858" t="str">
        <f>"030908"</f>
        <v>030908</v>
      </c>
      <c r="C858" t="s">
        <v>81</v>
      </c>
      <c r="D858" s="3">
        <v>213.94</v>
      </c>
      <c r="E858" t="s">
        <v>82</v>
      </c>
    </row>
    <row r="859" spans="1:5" x14ac:dyDescent="0.25">
      <c r="A859" s="2">
        <v>20190619</v>
      </c>
      <c r="B859" t="str">
        <f>"030908"</f>
        <v>030908</v>
      </c>
      <c r="C859" t="s">
        <v>81</v>
      </c>
      <c r="D859" s="3">
        <v>67.489999999999995</v>
      </c>
      <c r="E859" t="s">
        <v>82</v>
      </c>
    </row>
    <row r="860" spans="1:5" x14ac:dyDescent="0.25">
      <c r="A860" s="2">
        <v>20190619</v>
      </c>
      <c r="B860" t="str">
        <f>"030908"</f>
        <v>030908</v>
      </c>
      <c r="C860" t="s">
        <v>81</v>
      </c>
      <c r="D860" s="3">
        <v>67.489999999999995</v>
      </c>
      <c r="E860" t="s">
        <v>82</v>
      </c>
    </row>
    <row r="861" spans="1:5" x14ac:dyDescent="0.25">
      <c r="A861" s="2">
        <v>20190619</v>
      </c>
      <c r="B861" t="str">
        <f>"030909"</f>
        <v>030909</v>
      </c>
      <c r="C861" t="s">
        <v>600</v>
      </c>
      <c r="D861" s="3">
        <v>20.149999999999999</v>
      </c>
      <c r="E861" t="s">
        <v>601</v>
      </c>
    </row>
    <row r="862" spans="1:5" x14ac:dyDescent="0.25">
      <c r="A862" s="2">
        <v>20190619</v>
      </c>
      <c r="B862" t="str">
        <f>"030910"</f>
        <v>030910</v>
      </c>
      <c r="C862" t="s">
        <v>4</v>
      </c>
      <c r="D862" s="3">
        <v>42.22</v>
      </c>
      <c r="E862" t="s">
        <v>602</v>
      </c>
    </row>
    <row r="863" spans="1:5" x14ac:dyDescent="0.25">
      <c r="A863" s="2">
        <v>20190619</v>
      </c>
      <c r="B863" t="str">
        <f>"030910"</f>
        <v>030910</v>
      </c>
      <c r="C863" t="s">
        <v>4</v>
      </c>
      <c r="D863" s="3">
        <v>891.48</v>
      </c>
      <c r="E863" t="s">
        <v>541</v>
      </c>
    </row>
    <row r="864" spans="1:5" x14ac:dyDescent="0.25">
      <c r="A864" s="2">
        <v>20190619</v>
      </c>
      <c r="B864" t="str">
        <f>"030910"</f>
        <v>030910</v>
      </c>
      <c r="C864" t="s">
        <v>4</v>
      </c>
      <c r="D864" s="3">
        <v>113.67</v>
      </c>
      <c r="E864" t="s">
        <v>602</v>
      </c>
    </row>
    <row r="865" spans="1:5" x14ac:dyDescent="0.25">
      <c r="A865" s="2">
        <v>20190630</v>
      </c>
      <c r="B865" t="str">
        <f>"030912"</f>
        <v>030912</v>
      </c>
      <c r="C865" t="s">
        <v>546</v>
      </c>
      <c r="D865" s="3">
        <v>800</v>
      </c>
      <c r="E865" t="s">
        <v>603</v>
      </c>
    </row>
    <row r="866" spans="1:5" x14ac:dyDescent="0.25">
      <c r="A866" s="2">
        <v>20190630</v>
      </c>
      <c r="B866" t="str">
        <f>"030913"</f>
        <v>030913</v>
      </c>
      <c r="C866" t="s">
        <v>138</v>
      </c>
      <c r="D866" s="3">
        <v>1316.77</v>
      </c>
      <c r="E866" t="s">
        <v>139</v>
      </c>
    </row>
    <row r="867" spans="1:5" x14ac:dyDescent="0.25">
      <c r="A867" s="2">
        <v>20190630</v>
      </c>
      <c r="B867" t="str">
        <f>"030914"</f>
        <v>030914</v>
      </c>
      <c r="C867" t="s">
        <v>604</v>
      </c>
      <c r="D867" s="3">
        <v>16</v>
      </c>
      <c r="E867" t="s">
        <v>605</v>
      </c>
    </row>
    <row r="868" spans="1:5" x14ac:dyDescent="0.25">
      <c r="A868" s="2">
        <v>20190630</v>
      </c>
      <c r="B868" t="str">
        <f>"030915"</f>
        <v>030915</v>
      </c>
      <c r="C868" t="s">
        <v>606</v>
      </c>
      <c r="D868" s="3">
        <v>48.69</v>
      </c>
      <c r="E868" t="s">
        <v>607</v>
      </c>
    </row>
    <row r="869" spans="1:5" x14ac:dyDescent="0.25">
      <c r="A869" s="2">
        <v>20190630</v>
      </c>
      <c r="B869" t="str">
        <f t="shared" ref="B869:B874" si="15">"030916"</f>
        <v>030916</v>
      </c>
      <c r="C869" t="s">
        <v>4</v>
      </c>
      <c r="D869" s="3">
        <v>123.7</v>
      </c>
      <c r="E869" t="s">
        <v>608</v>
      </c>
    </row>
    <row r="870" spans="1:5" x14ac:dyDescent="0.25">
      <c r="A870" s="2">
        <v>20190630</v>
      </c>
      <c r="B870" t="str">
        <f t="shared" si="15"/>
        <v>030916</v>
      </c>
      <c r="C870" t="s">
        <v>4</v>
      </c>
      <c r="D870" s="3">
        <v>75.92</v>
      </c>
      <c r="E870" t="s">
        <v>607</v>
      </c>
    </row>
    <row r="871" spans="1:5" x14ac:dyDescent="0.25">
      <c r="A871" s="2">
        <v>20190630</v>
      </c>
      <c r="B871" t="str">
        <f t="shared" si="15"/>
        <v>030916</v>
      </c>
      <c r="C871" t="s">
        <v>4</v>
      </c>
      <c r="D871" s="3">
        <v>84.44</v>
      </c>
      <c r="E871" t="s">
        <v>602</v>
      </c>
    </row>
    <row r="872" spans="1:5" x14ac:dyDescent="0.25">
      <c r="A872" s="2">
        <v>20190630</v>
      </c>
      <c r="B872" t="str">
        <f t="shared" si="15"/>
        <v>030916</v>
      </c>
      <c r="C872" t="s">
        <v>4</v>
      </c>
      <c r="D872" s="3">
        <v>904.92</v>
      </c>
      <c r="E872" t="s">
        <v>541</v>
      </c>
    </row>
    <row r="873" spans="1:5" x14ac:dyDescent="0.25">
      <c r="A873" s="2">
        <v>20190630</v>
      </c>
      <c r="B873" t="str">
        <f t="shared" si="15"/>
        <v>030916</v>
      </c>
      <c r="C873" t="s">
        <v>4</v>
      </c>
      <c r="D873" s="3">
        <v>99.3</v>
      </c>
      <c r="E873" t="s">
        <v>374</v>
      </c>
    </row>
    <row r="874" spans="1:5" x14ac:dyDescent="0.25">
      <c r="A874" s="2">
        <v>20190630</v>
      </c>
      <c r="B874" t="str">
        <f t="shared" si="15"/>
        <v>030916</v>
      </c>
      <c r="C874" t="s">
        <v>4</v>
      </c>
      <c r="D874" s="3">
        <v>116.7</v>
      </c>
      <c r="E874" t="s">
        <v>374</v>
      </c>
    </row>
    <row r="875" spans="1:5" x14ac:dyDescent="0.25">
      <c r="A875" s="2">
        <v>20190630</v>
      </c>
      <c r="B875" t="str">
        <f>"030917"</f>
        <v>030917</v>
      </c>
      <c r="C875" t="s">
        <v>609</v>
      </c>
      <c r="D875" s="3">
        <v>17.18</v>
      </c>
      <c r="E875" t="s">
        <v>610</v>
      </c>
    </row>
    <row r="876" spans="1:5" x14ac:dyDescent="0.25">
      <c r="A876" s="2">
        <v>20190630</v>
      </c>
      <c r="B876" t="str">
        <f>"030918"</f>
        <v>030918</v>
      </c>
      <c r="C876" t="s">
        <v>497</v>
      </c>
      <c r="D876" s="3">
        <v>522.5</v>
      </c>
      <c r="E876" t="s">
        <v>232</v>
      </c>
    </row>
    <row r="877" spans="1:5" x14ac:dyDescent="0.25">
      <c r="A877" s="2"/>
      <c r="C877" s="11" t="s">
        <v>754</v>
      </c>
      <c r="D877" s="21">
        <f>SUM(D820:D876)</f>
        <v>29075.639999999992</v>
      </c>
    </row>
    <row r="878" spans="1:5" x14ac:dyDescent="0.25">
      <c r="A878" s="2">
        <v>20190703</v>
      </c>
      <c r="B878" t="str">
        <f>"030919"</f>
        <v>030919</v>
      </c>
      <c r="C878" t="s">
        <v>362</v>
      </c>
      <c r="D878" s="3">
        <v>103.14</v>
      </c>
      <c r="E878" t="s">
        <v>611</v>
      </c>
    </row>
    <row r="879" spans="1:5" x14ac:dyDescent="0.25">
      <c r="A879" s="2">
        <v>20190703</v>
      </c>
      <c r="B879" t="str">
        <f>"030920"</f>
        <v>030920</v>
      </c>
      <c r="C879" t="s">
        <v>612</v>
      </c>
      <c r="D879" s="3">
        <v>15.21</v>
      </c>
      <c r="E879" t="s">
        <v>613</v>
      </c>
    </row>
    <row r="880" spans="1:5" x14ac:dyDescent="0.25">
      <c r="A880" s="2">
        <v>20190703</v>
      </c>
      <c r="B880" t="str">
        <f>"030920"</f>
        <v>030920</v>
      </c>
      <c r="C880" t="s">
        <v>612</v>
      </c>
      <c r="D880" s="3">
        <v>187.84</v>
      </c>
      <c r="E880" t="s">
        <v>613</v>
      </c>
    </row>
    <row r="881" spans="1:5" x14ac:dyDescent="0.25">
      <c r="A881" s="2">
        <v>20190703</v>
      </c>
      <c r="B881" t="str">
        <f>"030922"</f>
        <v>030922</v>
      </c>
      <c r="C881" t="s">
        <v>614</v>
      </c>
      <c r="D881" s="3">
        <v>275</v>
      </c>
      <c r="E881" t="s">
        <v>615</v>
      </c>
    </row>
    <row r="882" spans="1:5" x14ac:dyDescent="0.25">
      <c r="A882" s="2">
        <v>20190703</v>
      </c>
      <c r="B882" t="str">
        <f>"030923"</f>
        <v>030923</v>
      </c>
      <c r="C882" t="s">
        <v>616</v>
      </c>
      <c r="D882" s="3">
        <v>49.97</v>
      </c>
      <c r="E882" t="s">
        <v>617</v>
      </c>
    </row>
    <row r="883" spans="1:5" x14ac:dyDescent="0.25">
      <c r="A883" s="2">
        <v>20190703</v>
      </c>
      <c r="B883" t="str">
        <f>"030924"</f>
        <v>030924</v>
      </c>
      <c r="C883" t="s">
        <v>604</v>
      </c>
      <c r="D883" s="3">
        <v>12</v>
      </c>
      <c r="E883" t="s">
        <v>618</v>
      </c>
    </row>
    <row r="884" spans="1:5" x14ac:dyDescent="0.25">
      <c r="A884" s="2">
        <v>20190703</v>
      </c>
      <c r="B884" t="str">
        <f>"030924"</f>
        <v>030924</v>
      </c>
      <c r="C884" t="s">
        <v>604</v>
      </c>
      <c r="D884" s="3">
        <v>60</v>
      </c>
      <c r="E884" t="s">
        <v>619</v>
      </c>
    </row>
    <row r="885" spans="1:5" x14ac:dyDescent="0.25">
      <c r="A885" s="2">
        <v>20190703</v>
      </c>
      <c r="B885" t="str">
        <f>"030925"</f>
        <v>030925</v>
      </c>
      <c r="C885" t="s">
        <v>147</v>
      </c>
      <c r="D885" s="3">
        <v>372.15</v>
      </c>
      <c r="E885" t="s">
        <v>148</v>
      </c>
    </row>
    <row r="886" spans="1:5" x14ac:dyDescent="0.25">
      <c r="A886" s="2">
        <v>20190703</v>
      </c>
      <c r="B886" t="str">
        <f>"030926"</f>
        <v>030926</v>
      </c>
      <c r="C886" t="s">
        <v>606</v>
      </c>
      <c r="D886" s="3">
        <v>62.97</v>
      </c>
      <c r="E886" t="s">
        <v>620</v>
      </c>
    </row>
    <row r="887" spans="1:5" x14ac:dyDescent="0.25">
      <c r="A887" s="2">
        <v>20190703</v>
      </c>
      <c r="B887" t="str">
        <f>"030927"</f>
        <v>030927</v>
      </c>
      <c r="C887" t="s">
        <v>4</v>
      </c>
      <c r="D887" s="3">
        <v>796.11</v>
      </c>
      <c r="E887" t="s">
        <v>541</v>
      </c>
    </row>
    <row r="888" spans="1:5" x14ac:dyDescent="0.25">
      <c r="A888" s="2">
        <v>20190703</v>
      </c>
      <c r="B888" t="str">
        <f>"030927"</f>
        <v>030927</v>
      </c>
      <c r="C888" t="s">
        <v>4</v>
      </c>
      <c r="D888" s="3">
        <v>933.7</v>
      </c>
      <c r="E888" t="s">
        <v>541</v>
      </c>
    </row>
    <row r="889" spans="1:5" x14ac:dyDescent="0.25">
      <c r="A889" s="2">
        <v>20190703</v>
      </c>
      <c r="B889" t="str">
        <f>"030927"</f>
        <v>030927</v>
      </c>
      <c r="C889" t="s">
        <v>4</v>
      </c>
      <c r="D889" s="3">
        <v>132.47999999999999</v>
      </c>
      <c r="E889" t="s">
        <v>621</v>
      </c>
    </row>
    <row r="890" spans="1:5" x14ac:dyDescent="0.25">
      <c r="A890" s="2">
        <v>20190703</v>
      </c>
      <c r="B890" t="str">
        <f>"030928"</f>
        <v>030928</v>
      </c>
      <c r="C890" t="s">
        <v>53</v>
      </c>
      <c r="D890" s="3">
        <v>239.16</v>
      </c>
      <c r="E890" t="s">
        <v>622</v>
      </c>
    </row>
    <row r="891" spans="1:5" x14ac:dyDescent="0.25">
      <c r="A891" s="2">
        <v>20190703</v>
      </c>
      <c r="B891" t="str">
        <f>"030929"</f>
        <v>030929</v>
      </c>
      <c r="C891" t="s">
        <v>55</v>
      </c>
      <c r="D891" s="3">
        <v>4.6500000000000004</v>
      </c>
      <c r="E891" t="s">
        <v>623</v>
      </c>
    </row>
    <row r="892" spans="1:5" x14ac:dyDescent="0.25">
      <c r="A892" s="2">
        <v>20190703</v>
      </c>
      <c r="B892" t="str">
        <f>"030930"</f>
        <v>030930</v>
      </c>
      <c r="C892" t="s">
        <v>624</v>
      </c>
      <c r="D892" s="3">
        <v>130</v>
      </c>
      <c r="E892" t="s">
        <v>625</v>
      </c>
    </row>
    <row r="893" spans="1:5" x14ac:dyDescent="0.25">
      <c r="A893" s="2">
        <v>20190703</v>
      </c>
      <c r="B893" t="str">
        <f>"030931"</f>
        <v>030931</v>
      </c>
      <c r="C893" t="s">
        <v>58</v>
      </c>
      <c r="D893" s="3">
        <v>284</v>
      </c>
      <c r="E893" t="s">
        <v>626</v>
      </c>
    </row>
    <row r="894" spans="1:5" x14ac:dyDescent="0.25">
      <c r="A894" s="2">
        <v>20190703</v>
      </c>
      <c r="B894" t="str">
        <f>"030931"</f>
        <v>030931</v>
      </c>
      <c r="C894" t="s">
        <v>58</v>
      </c>
      <c r="D894" s="3">
        <v>264</v>
      </c>
      <c r="E894" t="s">
        <v>626</v>
      </c>
    </row>
    <row r="895" spans="1:5" x14ac:dyDescent="0.25">
      <c r="A895" s="2">
        <v>20190703</v>
      </c>
      <c r="B895" t="str">
        <f>"030932"</f>
        <v>030932</v>
      </c>
      <c r="C895" t="s">
        <v>627</v>
      </c>
      <c r="D895" s="3">
        <v>1722</v>
      </c>
      <c r="E895" t="s">
        <v>628</v>
      </c>
    </row>
    <row r="896" spans="1:5" x14ac:dyDescent="0.25">
      <c r="A896" s="2">
        <v>20190703</v>
      </c>
      <c r="B896" t="str">
        <f>"030933"</f>
        <v>030933</v>
      </c>
      <c r="C896" t="s">
        <v>11</v>
      </c>
      <c r="D896" s="3">
        <v>50</v>
      </c>
      <c r="E896" t="s">
        <v>629</v>
      </c>
    </row>
    <row r="897" spans="1:5" x14ac:dyDescent="0.25">
      <c r="A897" s="2">
        <v>20190703</v>
      </c>
      <c r="B897" t="str">
        <f>"030933"</f>
        <v>030933</v>
      </c>
      <c r="C897" t="s">
        <v>11</v>
      </c>
      <c r="D897" s="3">
        <v>50</v>
      </c>
      <c r="E897" t="s">
        <v>629</v>
      </c>
    </row>
    <row r="898" spans="1:5" x14ac:dyDescent="0.25">
      <c r="A898" s="2">
        <v>20190703</v>
      </c>
      <c r="B898" t="str">
        <f>"030933"</f>
        <v>030933</v>
      </c>
      <c r="C898" t="s">
        <v>11</v>
      </c>
      <c r="D898" s="3">
        <v>60</v>
      </c>
      <c r="E898" t="s">
        <v>630</v>
      </c>
    </row>
    <row r="899" spans="1:5" x14ac:dyDescent="0.25">
      <c r="A899" s="2">
        <v>20190703</v>
      </c>
      <c r="B899" t="str">
        <f>"030933"</f>
        <v>030933</v>
      </c>
      <c r="C899" t="s">
        <v>11</v>
      </c>
      <c r="D899" s="3">
        <v>273</v>
      </c>
      <c r="E899" t="s">
        <v>631</v>
      </c>
    </row>
    <row r="900" spans="1:5" x14ac:dyDescent="0.25">
      <c r="A900" s="2">
        <v>20190703</v>
      </c>
      <c r="B900" t="str">
        <f>"030934"</f>
        <v>030934</v>
      </c>
      <c r="C900" t="s">
        <v>632</v>
      </c>
      <c r="D900" s="3">
        <v>98.14</v>
      </c>
      <c r="E900" t="s">
        <v>633</v>
      </c>
    </row>
    <row r="901" spans="1:5" x14ac:dyDescent="0.25">
      <c r="A901" s="2">
        <v>20190703</v>
      </c>
      <c r="B901" t="str">
        <f>"030936"</f>
        <v>030936</v>
      </c>
      <c r="C901" t="s">
        <v>464</v>
      </c>
      <c r="D901" s="3">
        <v>700</v>
      </c>
      <c r="E901" t="s">
        <v>575</v>
      </c>
    </row>
    <row r="902" spans="1:5" x14ac:dyDescent="0.25">
      <c r="A902" s="2">
        <v>20190703</v>
      </c>
      <c r="B902" t="str">
        <f>"030937"</f>
        <v>030937</v>
      </c>
      <c r="C902" t="s">
        <v>337</v>
      </c>
      <c r="D902" s="3">
        <v>44</v>
      </c>
      <c r="E902" t="s">
        <v>634</v>
      </c>
    </row>
    <row r="903" spans="1:5" x14ac:dyDescent="0.25">
      <c r="A903" s="2">
        <v>20190703</v>
      </c>
      <c r="B903" t="str">
        <f>"030938"</f>
        <v>030938</v>
      </c>
      <c r="C903" t="s">
        <v>11</v>
      </c>
      <c r="D903" s="3">
        <v>800</v>
      </c>
      <c r="E903" t="s">
        <v>635</v>
      </c>
    </row>
    <row r="904" spans="1:5" x14ac:dyDescent="0.25">
      <c r="A904" s="2">
        <v>20190703</v>
      </c>
      <c r="B904" t="str">
        <f>"030938"</f>
        <v>030938</v>
      </c>
      <c r="C904" t="s">
        <v>11</v>
      </c>
      <c r="D904" s="3">
        <v>800</v>
      </c>
      <c r="E904" t="s">
        <v>636</v>
      </c>
    </row>
    <row r="905" spans="1:5" x14ac:dyDescent="0.25">
      <c r="A905" s="2">
        <v>20190703</v>
      </c>
      <c r="B905" t="str">
        <f>"030939"</f>
        <v>030939</v>
      </c>
      <c r="C905" t="s">
        <v>637</v>
      </c>
      <c r="D905" s="3">
        <v>694.25</v>
      </c>
      <c r="E905" t="s">
        <v>638</v>
      </c>
    </row>
    <row r="906" spans="1:5" x14ac:dyDescent="0.25">
      <c r="A906" s="2">
        <v>20190703</v>
      </c>
      <c r="B906" t="str">
        <f>"030940"</f>
        <v>030940</v>
      </c>
      <c r="C906" t="s">
        <v>62</v>
      </c>
      <c r="D906" s="3">
        <v>616.04</v>
      </c>
      <c r="E906" t="s">
        <v>160</v>
      </c>
    </row>
    <row r="907" spans="1:5" x14ac:dyDescent="0.25">
      <c r="A907" s="2">
        <v>20190724</v>
      </c>
      <c r="B907" t="str">
        <f>"030947"</f>
        <v>030947</v>
      </c>
      <c r="C907" t="s">
        <v>639</v>
      </c>
      <c r="D907" s="3">
        <v>406.08</v>
      </c>
      <c r="E907" t="s">
        <v>640</v>
      </c>
    </row>
    <row r="908" spans="1:5" x14ac:dyDescent="0.25">
      <c r="A908" s="2">
        <v>20190724</v>
      </c>
      <c r="B908" t="str">
        <f>"030948"</f>
        <v>030948</v>
      </c>
      <c r="C908" t="s">
        <v>129</v>
      </c>
      <c r="D908" s="3">
        <v>112.28</v>
      </c>
      <c r="E908" t="s">
        <v>130</v>
      </c>
    </row>
    <row r="909" spans="1:5" x14ac:dyDescent="0.25">
      <c r="A909" s="2">
        <v>20190724</v>
      </c>
      <c r="B909" t="str">
        <f>"030949"</f>
        <v>030949</v>
      </c>
      <c r="C909" t="s">
        <v>40</v>
      </c>
      <c r="D909" s="3">
        <v>718.81</v>
      </c>
      <c r="E909" t="s">
        <v>583</v>
      </c>
    </row>
    <row r="910" spans="1:5" x14ac:dyDescent="0.25">
      <c r="A910" s="2">
        <v>20190724</v>
      </c>
      <c r="B910" t="str">
        <f>"030950"</f>
        <v>030950</v>
      </c>
      <c r="C910" t="s">
        <v>81</v>
      </c>
      <c r="D910" s="3">
        <v>202.46</v>
      </c>
      <c r="E910" t="s">
        <v>82</v>
      </c>
    </row>
    <row r="911" spans="1:5" x14ac:dyDescent="0.25">
      <c r="A911" s="2">
        <v>20190724</v>
      </c>
      <c r="B911" t="str">
        <f>"030950"</f>
        <v>030950</v>
      </c>
      <c r="C911" t="s">
        <v>81</v>
      </c>
      <c r="D911" s="3">
        <v>213.94</v>
      </c>
      <c r="E911" t="s">
        <v>82</v>
      </c>
    </row>
    <row r="912" spans="1:5" x14ac:dyDescent="0.25">
      <c r="A912" s="2">
        <v>20190724</v>
      </c>
      <c r="B912" t="str">
        <f>"030950"</f>
        <v>030950</v>
      </c>
      <c r="C912" t="s">
        <v>81</v>
      </c>
      <c r="D912" s="3">
        <v>67.489999999999995</v>
      </c>
      <c r="E912" t="s">
        <v>82</v>
      </c>
    </row>
    <row r="913" spans="1:5" x14ac:dyDescent="0.25">
      <c r="A913" s="2">
        <v>20190724</v>
      </c>
      <c r="B913" t="str">
        <f>"030950"</f>
        <v>030950</v>
      </c>
      <c r="C913" t="s">
        <v>81</v>
      </c>
      <c r="D913" s="3">
        <v>67.489999999999995</v>
      </c>
      <c r="E913" t="s">
        <v>82</v>
      </c>
    </row>
    <row r="914" spans="1:5" x14ac:dyDescent="0.25">
      <c r="A914" s="2">
        <v>20190724</v>
      </c>
      <c r="B914" t="str">
        <f>"030951"</f>
        <v>030951</v>
      </c>
      <c r="C914" t="s">
        <v>138</v>
      </c>
      <c r="D914" s="3">
        <v>1021.35</v>
      </c>
      <c r="E914" t="s">
        <v>139</v>
      </c>
    </row>
    <row r="915" spans="1:5" x14ac:dyDescent="0.25">
      <c r="A915" s="2">
        <v>20190724</v>
      </c>
      <c r="B915" t="str">
        <f>"030952"</f>
        <v>030952</v>
      </c>
      <c r="C915" t="s">
        <v>449</v>
      </c>
      <c r="D915" s="3">
        <v>132.47999999999999</v>
      </c>
      <c r="E915" t="s">
        <v>39</v>
      </c>
    </row>
    <row r="916" spans="1:5" x14ac:dyDescent="0.25">
      <c r="A916" s="2">
        <v>20190724</v>
      </c>
      <c r="B916" t="str">
        <f>"030953"</f>
        <v>030953</v>
      </c>
      <c r="C916" t="s">
        <v>473</v>
      </c>
      <c r="D916" s="3">
        <v>14.99</v>
      </c>
      <c r="E916" t="s">
        <v>641</v>
      </c>
    </row>
    <row r="917" spans="1:5" x14ac:dyDescent="0.25">
      <c r="A917" s="2">
        <v>20190724</v>
      </c>
      <c r="B917" t="str">
        <f t="shared" ref="B917:B922" si="16">"030954"</f>
        <v>030954</v>
      </c>
      <c r="C917" t="s">
        <v>2</v>
      </c>
      <c r="D917" s="3">
        <v>87.98</v>
      </c>
      <c r="E917" t="s">
        <v>642</v>
      </c>
    </row>
    <row r="918" spans="1:5" x14ac:dyDescent="0.25">
      <c r="A918" s="2">
        <v>20190724</v>
      </c>
      <c r="B918" t="str">
        <f t="shared" si="16"/>
        <v>030954</v>
      </c>
      <c r="C918" t="s">
        <v>2</v>
      </c>
      <c r="D918" s="3">
        <v>56.32</v>
      </c>
      <c r="E918" t="s">
        <v>643</v>
      </c>
    </row>
    <row r="919" spans="1:5" x14ac:dyDescent="0.25">
      <c r="A919" s="2">
        <v>20190724</v>
      </c>
      <c r="B919" t="str">
        <f t="shared" si="16"/>
        <v>030954</v>
      </c>
      <c r="C919" t="s">
        <v>2</v>
      </c>
      <c r="D919" s="3">
        <v>67.930000000000007</v>
      </c>
      <c r="E919" t="s">
        <v>644</v>
      </c>
    </row>
    <row r="920" spans="1:5" x14ac:dyDescent="0.25">
      <c r="A920" s="2">
        <v>20190724</v>
      </c>
      <c r="B920" t="str">
        <f t="shared" si="16"/>
        <v>030954</v>
      </c>
      <c r="C920" t="s">
        <v>2</v>
      </c>
      <c r="D920" s="3">
        <v>85.15</v>
      </c>
      <c r="E920" t="s">
        <v>645</v>
      </c>
    </row>
    <row r="921" spans="1:5" x14ac:dyDescent="0.25">
      <c r="A921" s="2">
        <v>20190724</v>
      </c>
      <c r="B921" t="str">
        <f t="shared" si="16"/>
        <v>030954</v>
      </c>
      <c r="C921" t="s">
        <v>2</v>
      </c>
      <c r="D921" s="3">
        <v>76.09</v>
      </c>
      <c r="E921" t="s">
        <v>646</v>
      </c>
    </row>
    <row r="922" spans="1:5" x14ac:dyDescent="0.25">
      <c r="A922" s="2">
        <v>20190724</v>
      </c>
      <c r="B922" t="str">
        <f t="shared" si="16"/>
        <v>030954</v>
      </c>
      <c r="C922" t="s">
        <v>2</v>
      </c>
      <c r="D922" s="3">
        <v>35.36</v>
      </c>
      <c r="E922" t="s">
        <v>647</v>
      </c>
    </row>
    <row r="923" spans="1:5" x14ac:dyDescent="0.25">
      <c r="A923" s="2">
        <v>20190724</v>
      </c>
      <c r="B923" t="str">
        <f>"030955"</f>
        <v>030955</v>
      </c>
      <c r="C923" t="s">
        <v>648</v>
      </c>
      <c r="D923" s="3">
        <v>55.37</v>
      </c>
      <c r="E923" t="s">
        <v>649</v>
      </c>
    </row>
    <row r="924" spans="1:5" x14ac:dyDescent="0.25">
      <c r="A924" s="2">
        <v>20190724</v>
      </c>
      <c r="B924" t="str">
        <f>"030956"</f>
        <v>030956</v>
      </c>
      <c r="C924" t="s">
        <v>650</v>
      </c>
      <c r="D924" s="3">
        <v>101.5</v>
      </c>
      <c r="E924" t="s">
        <v>651</v>
      </c>
    </row>
    <row r="925" spans="1:5" x14ac:dyDescent="0.25">
      <c r="A925" s="2">
        <v>20190724</v>
      </c>
      <c r="B925" t="str">
        <f>"030957"</f>
        <v>030957</v>
      </c>
      <c r="C925" t="s">
        <v>652</v>
      </c>
      <c r="D925" s="3">
        <v>49.26</v>
      </c>
      <c r="E925" t="s">
        <v>653</v>
      </c>
    </row>
    <row r="926" spans="1:5" x14ac:dyDescent="0.25">
      <c r="A926" s="2">
        <v>20190724</v>
      </c>
      <c r="B926" t="str">
        <f>"030959"</f>
        <v>030959</v>
      </c>
      <c r="C926" t="s">
        <v>654</v>
      </c>
      <c r="D926" s="3">
        <v>37.200000000000003</v>
      </c>
      <c r="E926" t="s">
        <v>655</v>
      </c>
    </row>
    <row r="927" spans="1:5" x14ac:dyDescent="0.25">
      <c r="A927" s="2">
        <v>20190724</v>
      </c>
      <c r="B927" t="str">
        <f>"030960"</f>
        <v>030960</v>
      </c>
      <c r="C927" t="s">
        <v>163</v>
      </c>
      <c r="D927" s="3">
        <v>234.3</v>
      </c>
      <c r="E927" t="s">
        <v>164</v>
      </c>
    </row>
    <row r="928" spans="1:5" x14ac:dyDescent="0.25">
      <c r="A928" s="2"/>
      <c r="C928" s="11" t="s">
        <v>753</v>
      </c>
      <c r="D928" s="21">
        <f>SUM(D878:D927)</f>
        <v>13673.640000000001</v>
      </c>
    </row>
    <row r="929" spans="1:5" x14ac:dyDescent="0.25">
      <c r="A929" s="2">
        <v>20190805</v>
      </c>
      <c r="B929" t="str">
        <f>"030975"</f>
        <v>030975</v>
      </c>
      <c r="C929" t="s">
        <v>656</v>
      </c>
      <c r="D929" s="3">
        <v>140</v>
      </c>
      <c r="E929" t="s">
        <v>657</v>
      </c>
    </row>
    <row r="930" spans="1:5" x14ac:dyDescent="0.25">
      <c r="A930" s="2">
        <v>20190805</v>
      </c>
      <c r="B930" t="str">
        <f>"030976"</f>
        <v>030976</v>
      </c>
      <c r="C930" t="s">
        <v>147</v>
      </c>
      <c r="D930" s="3">
        <v>417.8</v>
      </c>
      <c r="E930" t="s">
        <v>148</v>
      </c>
    </row>
    <row r="931" spans="1:5" x14ac:dyDescent="0.25">
      <c r="A931" s="2">
        <v>20190805</v>
      </c>
      <c r="B931" t="str">
        <f>"030977"</f>
        <v>030977</v>
      </c>
      <c r="C931" t="s">
        <v>55</v>
      </c>
      <c r="D931" s="3">
        <v>4.99</v>
      </c>
      <c r="E931" t="s">
        <v>658</v>
      </c>
    </row>
    <row r="932" spans="1:5" x14ac:dyDescent="0.25">
      <c r="A932" s="2">
        <v>20190805</v>
      </c>
      <c r="B932" t="str">
        <f>"030977"</f>
        <v>030977</v>
      </c>
      <c r="C932" t="s">
        <v>55</v>
      </c>
      <c r="D932" s="3">
        <v>10.32</v>
      </c>
      <c r="E932" t="s">
        <v>658</v>
      </c>
    </row>
    <row r="933" spans="1:5" x14ac:dyDescent="0.25">
      <c r="A933" s="2">
        <v>20190805</v>
      </c>
      <c r="B933" t="str">
        <f>"030978"</f>
        <v>030978</v>
      </c>
      <c r="C933" t="s">
        <v>659</v>
      </c>
      <c r="D933" s="3">
        <v>35.19</v>
      </c>
      <c r="E933" t="s">
        <v>660</v>
      </c>
    </row>
    <row r="934" spans="1:5" x14ac:dyDescent="0.25">
      <c r="A934" s="2">
        <v>20190805</v>
      </c>
      <c r="B934" t="str">
        <f>"030979"</f>
        <v>030979</v>
      </c>
      <c r="C934" t="s">
        <v>661</v>
      </c>
      <c r="D934" s="3">
        <v>16435</v>
      </c>
      <c r="E934" t="s">
        <v>662</v>
      </c>
    </row>
    <row r="935" spans="1:5" x14ac:dyDescent="0.25">
      <c r="A935" s="2">
        <v>20190805</v>
      </c>
      <c r="B935" t="str">
        <f>"030980"</f>
        <v>030980</v>
      </c>
      <c r="C935" t="s">
        <v>464</v>
      </c>
      <c r="D935" s="3">
        <v>700</v>
      </c>
      <c r="E935" t="s">
        <v>575</v>
      </c>
    </row>
    <row r="936" spans="1:5" x14ac:dyDescent="0.25">
      <c r="A936" s="2">
        <v>20190805</v>
      </c>
      <c r="B936" t="str">
        <f>"030981"</f>
        <v>030981</v>
      </c>
      <c r="C936" t="s">
        <v>125</v>
      </c>
      <c r="D936" s="3">
        <v>1380</v>
      </c>
      <c r="E936" t="s">
        <v>126</v>
      </c>
    </row>
    <row r="937" spans="1:5" x14ac:dyDescent="0.25">
      <c r="A937" s="2">
        <v>20190805</v>
      </c>
      <c r="B937" t="str">
        <f>"030982"</f>
        <v>030982</v>
      </c>
      <c r="C937" t="s">
        <v>70</v>
      </c>
      <c r="D937" s="3">
        <v>300</v>
      </c>
      <c r="E937" t="s">
        <v>663</v>
      </c>
    </row>
    <row r="938" spans="1:5" x14ac:dyDescent="0.25">
      <c r="A938" s="2">
        <v>20190813</v>
      </c>
      <c r="B938" t="str">
        <f>"030983"</f>
        <v>030983</v>
      </c>
      <c r="C938" t="s">
        <v>40</v>
      </c>
      <c r="D938" s="3">
        <v>608.80999999999995</v>
      </c>
      <c r="E938" t="s">
        <v>583</v>
      </c>
    </row>
    <row r="939" spans="1:5" x14ac:dyDescent="0.25">
      <c r="A939" s="2">
        <v>20190813</v>
      </c>
      <c r="B939" t="str">
        <f>"030984"</f>
        <v>030984</v>
      </c>
      <c r="C939" t="s">
        <v>2</v>
      </c>
      <c r="D939" s="3">
        <v>65.23</v>
      </c>
      <c r="E939" t="s">
        <v>664</v>
      </c>
    </row>
    <row r="940" spans="1:5" x14ac:dyDescent="0.25">
      <c r="A940" s="2">
        <v>20190813</v>
      </c>
      <c r="B940" t="str">
        <f>"030986"</f>
        <v>030986</v>
      </c>
      <c r="C940" t="s">
        <v>4</v>
      </c>
      <c r="D940" s="3">
        <v>88.02</v>
      </c>
      <c r="E940" t="s">
        <v>665</v>
      </c>
    </row>
    <row r="941" spans="1:5" x14ac:dyDescent="0.25">
      <c r="A941" s="2">
        <v>20190813</v>
      </c>
      <c r="B941" t="str">
        <f>"030986"</f>
        <v>030986</v>
      </c>
      <c r="C941" t="s">
        <v>4</v>
      </c>
      <c r="D941" s="3">
        <v>104.13</v>
      </c>
      <c r="E941" t="s">
        <v>666</v>
      </c>
    </row>
    <row r="942" spans="1:5" x14ac:dyDescent="0.25">
      <c r="A942" s="2">
        <v>20190813</v>
      </c>
      <c r="B942" t="str">
        <f>"030987"</f>
        <v>030987</v>
      </c>
      <c r="C942" t="s">
        <v>55</v>
      </c>
      <c r="D942" s="3">
        <v>239.52</v>
      </c>
      <c r="E942" t="s">
        <v>251</v>
      </c>
    </row>
    <row r="943" spans="1:5" x14ac:dyDescent="0.25">
      <c r="A943" s="2">
        <v>20190813</v>
      </c>
      <c r="B943" t="str">
        <f>"030987"</f>
        <v>030987</v>
      </c>
      <c r="C943" t="s">
        <v>55</v>
      </c>
      <c r="D943" s="3">
        <v>58.69</v>
      </c>
      <c r="E943" t="s">
        <v>658</v>
      </c>
    </row>
    <row r="944" spans="1:5" x14ac:dyDescent="0.25">
      <c r="A944" s="2">
        <v>20190813</v>
      </c>
      <c r="B944" t="str">
        <f>"030988"</f>
        <v>030988</v>
      </c>
      <c r="C944" t="s">
        <v>11</v>
      </c>
      <c r="D944" s="3">
        <v>50</v>
      </c>
      <c r="E944" t="s">
        <v>667</v>
      </c>
    </row>
    <row r="945" spans="1:5" x14ac:dyDescent="0.25">
      <c r="A945" s="2">
        <v>20190814</v>
      </c>
      <c r="B945" t="str">
        <f>"030991"</f>
        <v>030991</v>
      </c>
      <c r="C945" t="s">
        <v>639</v>
      </c>
      <c r="D945" s="3">
        <v>830.81</v>
      </c>
      <c r="E945" t="s">
        <v>189</v>
      </c>
    </row>
    <row r="946" spans="1:5" x14ac:dyDescent="0.25">
      <c r="A946" s="2">
        <v>20190814</v>
      </c>
      <c r="B946" t="str">
        <f>"030992"</f>
        <v>030992</v>
      </c>
      <c r="C946" t="s">
        <v>129</v>
      </c>
      <c r="D946" s="3">
        <v>114</v>
      </c>
      <c r="E946" t="s">
        <v>130</v>
      </c>
    </row>
    <row r="947" spans="1:5" x14ac:dyDescent="0.25">
      <c r="A947" s="2">
        <v>20190814</v>
      </c>
      <c r="B947" t="str">
        <f>"030993"</f>
        <v>030993</v>
      </c>
      <c r="C947" t="s">
        <v>668</v>
      </c>
      <c r="D947" s="3">
        <v>2270</v>
      </c>
      <c r="E947" t="s">
        <v>669</v>
      </c>
    </row>
    <row r="948" spans="1:5" x14ac:dyDescent="0.25">
      <c r="A948" s="2">
        <v>20190814</v>
      </c>
      <c r="B948" t="str">
        <f>"030994"</f>
        <v>030994</v>
      </c>
      <c r="C948" t="s">
        <v>138</v>
      </c>
      <c r="D948" s="3">
        <v>1088.68</v>
      </c>
      <c r="E948" t="s">
        <v>139</v>
      </c>
    </row>
    <row r="949" spans="1:5" x14ac:dyDescent="0.25">
      <c r="A949" s="2">
        <v>20190814</v>
      </c>
      <c r="B949" t="str">
        <f>"030995"</f>
        <v>030995</v>
      </c>
      <c r="C949" t="s">
        <v>557</v>
      </c>
      <c r="D949" s="3">
        <v>64.5</v>
      </c>
      <c r="E949" t="s">
        <v>670</v>
      </c>
    </row>
    <row r="950" spans="1:5" x14ac:dyDescent="0.25">
      <c r="A950" s="2">
        <v>20190814</v>
      </c>
      <c r="B950" t="str">
        <f>"030996"</f>
        <v>030996</v>
      </c>
      <c r="C950" t="s">
        <v>53</v>
      </c>
      <c r="D950" s="3">
        <v>15.67</v>
      </c>
      <c r="E950" t="s">
        <v>658</v>
      </c>
    </row>
    <row r="951" spans="1:5" x14ac:dyDescent="0.25">
      <c r="A951" s="2">
        <v>20190814</v>
      </c>
      <c r="B951" t="str">
        <f>"030997"</f>
        <v>030997</v>
      </c>
      <c r="C951" t="s">
        <v>55</v>
      </c>
      <c r="D951" s="3">
        <v>126.8</v>
      </c>
      <c r="E951" t="s">
        <v>658</v>
      </c>
    </row>
    <row r="952" spans="1:5" x14ac:dyDescent="0.25">
      <c r="A952" s="2">
        <v>20190814</v>
      </c>
      <c r="B952" t="str">
        <f>"030997"</f>
        <v>030997</v>
      </c>
      <c r="C952" t="s">
        <v>55</v>
      </c>
      <c r="D952" s="3">
        <v>76.02</v>
      </c>
      <c r="E952" t="s">
        <v>658</v>
      </c>
    </row>
    <row r="953" spans="1:5" x14ac:dyDescent="0.25">
      <c r="A953" s="2">
        <v>20190814</v>
      </c>
      <c r="B953" t="str">
        <f>"030998"</f>
        <v>030998</v>
      </c>
      <c r="C953" t="s">
        <v>377</v>
      </c>
      <c r="D953" s="3">
        <v>18.989999999999998</v>
      </c>
      <c r="E953" t="s">
        <v>378</v>
      </c>
    </row>
    <row r="954" spans="1:5" x14ac:dyDescent="0.25">
      <c r="A954" s="2">
        <v>20190814</v>
      </c>
      <c r="B954" t="str">
        <f>"030998"</f>
        <v>030998</v>
      </c>
      <c r="C954" t="s">
        <v>377</v>
      </c>
      <c r="D954" s="3">
        <v>18.989999999999998</v>
      </c>
      <c r="E954" t="s">
        <v>378</v>
      </c>
    </row>
    <row r="955" spans="1:5" x14ac:dyDescent="0.25">
      <c r="A955" s="2">
        <v>20190814</v>
      </c>
      <c r="B955" t="str">
        <f>"030998"</f>
        <v>030998</v>
      </c>
      <c r="C955" t="s">
        <v>377</v>
      </c>
      <c r="D955" s="3">
        <v>18.989999999999998</v>
      </c>
      <c r="E955" t="s">
        <v>378</v>
      </c>
    </row>
    <row r="956" spans="1:5" x14ac:dyDescent="0.25">
      <c r="A956" s="2">
        <v>20190814</v>
      </c>
      <c r="B956" t="str">
        <f>"030999"</f>
        <v>030999</v>
      </c>
      <c r="C956" t="s">
        <v>106</v>
      </c>
      <c r="D956" s="3">
        <v>958.04</v>
      </c>
      <c r="E956" t="s">
        <v>671</v>
      </c>
    </row>
    <row r="957" spans="1:5" x14ac:dyDescent="0.25">
      <c r="A957" s="2">
        <v>20190814</v>
      </c>
      <c r="B957" t="str">
        <f>"030999"</f>
        <v>030999</v>
      </c>
      <c r="C957" t="s">
        <v>106</v>
      </c>
      <c r="D957" s="3">
        <v>584.22</v>
      </c>
      <c r="E957" t="s">
        <v>672</v>
      </c>
    </row>
    <row r="958" spans="1:5" x14ac:dyDescent="0.25">
      <c r="A958" s="2">
        <v>20190814</v>
      </c>
      <c r="B958" t="str">
        <f>"030999"</f>
        <v>030999</v>
      </c>
      <c r="C958" t="s">
        <v>106</v>
      </c>
      <c r="D958" s="3">
        <v>73.91</v>
      </c>
      <c r="E958" t="s">
        <v>672</v>
      </c>
    </row>
    <row r="959" spans="1:5" x14ac:dyDescent="0.25">
      <c r="A959" s="2">
        <v>20190814</v>
      </c>
      <c r="B959" t="str">
        <f>"030999"</f>
        <v>030999</v>
      </c>
      <c r="C959" t="s">
        <v>106</v>
      </c>
      <c r="D959" s="3">
        <v>1276.68</v>
      </c>
      <c r="E959" t="s">
        <v>671</v>
      </c>
    </row>
    <row r="960" spans="1:5" x14ac:dyDescent="0.25">
      <c r="A960" s="2">
        <v>20190814</v>
      </c>
      <c r="B960" t="str">
        <f>"031000"</f>
        <v>031000</v>
      </c>
      <c r="C960" t="s">
        <v>163</v>
      </c>
      <c r="D960" s="3">
        <v>228.8</v>
      </c>
      <c r="E960" t="s">
        <v>164</v>
      </c>
    </row>
    <row r="961" spans="1:5" x14ac:dyDescent="0.25">
      <c r="A961" s="2">
        <v>20190821</v>
      </c>
      <c r="B961" t="str">
        <f>"031001"</f>
        <v>031001</v>
      </c>
      <c r="C961" t="s">
        <v>44</v>
      </c>
      <c r="D961" s="3">
        <v>7.5</v>
      </c>
      <c r="E961" t="s">
        <v>673</v>
      </c>
    </row>
    <row r="962" spans="1:5" x14ac:dyDescent="0.25">
      <c r="A962" s="2">
        <v>20190821</v>
      </c>
      <c r="B962" t="str">
        <f>"031002"</f>
        <v>031002</v>
      </c>
      <c r="C962" t="s">
        <v>81</v>
      </c>
      <c r="D962" s="3">
        <v>202.46</v>
      </c>
      <c r="E962" t="s">
        <v>82</v>
      </c>
    </row>
    <row r="963" spans="1:5" x14ac:dyDescent="0.25">
      <c r="A963" s="2">
        <v>20190821</v>
      </c>
      <c r="B963" t="str">
        <f>"031002"</f>
        <v>031002</v>
      </c>
      <c r="C963" t="s">
        <v>81</v>
      </c>
      <c r="D963" s="3">
        <v>213.94</v>
      </c>
      <c r="E963" t="s">
        <v>82</v>
      </c>
    </row>
    <row r="964" spans="1:5" x14ac:dyDescent="0.25">
      <c r="A964" s="2">
        <v>20190821</v>
      </c>
      <c r="B964" t="str">
        <f>"031002"</f>
        <v>031002</v>
      </c>
      <c r="C964" t="s">
        <v>81</v>
      </c>
      <c r="D964" s="3">
        <v>67.489999999999995</v>
      </c>
      <c r="E964" t="s">
        <v>82</v>
      </c>
    </row>
    <row r="965" spans="1:5" x14ac:dyDescent="0.25">
      <c r="A965" s="2">
        <v>20190821</v>
      </c>
      <c r="B965" t="str">
        <f>"031002"</f>
        <v>031002</v>
      </c>
      <c r="C965" t="s">
        <v>81</v>
      </c>
      <c r="D965" s="3">
        <v>67.489999999999995</v>
      </c>
      <c r="E965" t="s">
        <v>82</v>
      </c>
    </row>
    <row r="966" spans="1:5" x14ac:dyDescent="0.25">
      <c r="A966" s="2">
        <v>20190821</v>
      </c>
      <c r="B966" t="str">
        <f>"031003"</f>
        <v>031003</v>
      </c>
      <c r="C966" t="s">
        <v>532</v>
      </c>
      <c r="D966" s="3">
        <v>154.05000000000001</v>
      </c>
      <c r="E966" t="s">
        <v>533</v>
      </c>
    </row>
    <row r="967" spans="1:5" x14ac:dyDescent="0.25">
      <c r="A967" s="2">
        <v>20190821</v>
      </c>
      <c r="B967" t="str">
        <f>"031004"</f>
        <v>031004</v>
      </c>
      <c r="C967" t="s">
        <v>449</v>
      </c>
      <c r="D967" s="3">
        <v>132.47999999999999</v>
      </c>
      <c r="E967" t="s">
        <v>39</v>
      </c>
    </row>
    <row r="968" spans="1:5" x14ac:dyDescent="0.25">
      <c r="A968" s="2">
        <v>20190821</v>
      </c>
      <c r="B968" t="str">
        <f>"031005"</f>
        <v>031005</v>
      </c>
      <c r="C968" t="s">
        <v>674</v>
      </c>
      <c r="D968" s="3">
        <v>797.5</v>
      </c>
      <c r="E968" t="s">
        <v>675</v>
      </c>
    </row>
    <row r="969" spans="1:5" x14ac:dyDescent="0.25">
      <c r="A969" s="2">
        <v>20190821</v>
      </c>
      <c r="B969" t="str">
        <f>"031006"</f>
        <v>031006</v>
      </c>
      <c r="C969" t="s">
        <v>676</v>
      </c>
      <c r="D969" s="3">
        <v>225</v>
      </c>
      <c r="E969" t="s">
        <v>677</v>
      </c>
    </row>
    <row r="970" spans="1:5" x14ac:dyDescent="0.25">
      <c r="A970" s="2">
        <v>20190821</v>
      </c>
      <c r="B970" t="str">
        <f>"031008"</f>
        <v>031008</v>
      </c>
      <c r="C970" t="s">
        <v>4</v>
      </c>
      <c r="D970" s="3">
        <v>77.66</v>
      </c>
      <c r="E970" t="s">
        <v>678</v>
      </c>
    </row>
    <row r="971" spans="1:5" x14ac:dyDescent="0.25">
      <c r="A971" s="2">
        <v>20190821</v>
      </c>
      <c r="B971" t="str">
        <f>"031008"</f>
        <v>031008</v>
      </c>
      <c r="C971" t="s">
        <v>4</v>
      </c>
      <c r="D971" s="3">
        <v>20</v>
      </c>
      <c r="E971" t="s">
        <v>678</v>
      </c>
    </row>
    <row r="972" spans="1:5" x14ac:dyDescent="0.25">
      <c r="A972" s="2">
        <v>20190821</v>
      </c>
      <c r="B972" t="str">
        <f>"031008"</f>
        <v>031008</v>
      </c>
      <c r="C972" t="s">
        <v>4</v>
      </c>
      <c r="D972" s="3">
        <v>27.95</v>
      </c>
      <c r="E972" t="s">
        <v>678</v>
      </c>
    </row>
    <row r="973" spans="1:5" x14ac:dyDescent="0.25">
      <c r="A973" s="2">
        <v>20190821</v>
      </c>
      <c r="B973" t="str">
        <f>"031008"</f>
        <v>031008</v>
      </c>
      <c r="C973" t="s">
        <v>4</v>
      </c>
      <c r="D973" s="3">
        <v>12</v>
      </c>
      <c r="E973" t="s">
        <v>679</v>
      </c>
    </row>
    <row r="974" spans="1:5" x14ac:dyDescent="0.25">
      <c r="A974" s="2">
        <v>20190821</v>
      </c>
      <c r="B974" t="str">
        <f>"031009"</f>
        <v>031009</v>
      </c>
      <c r="C974" t="s">
        <v>55</v>
      </c>
      <c r="D974" s="3">
        <v>96.85</v>
      </c>
      <c r="E974" t="s">
        <v>680</v>
      </c>
    </row>
    <row r="975" spans="1:5" x14ac:dyDescent="0.25">
      <c r="A975" s="2">
        <v>20190821</v>
      </c>
      <c r="B975" t="str">
        <f>"031010"</f>
        <v>031010</v>
      </c>
      <c r="C975" t="s">
        <v>11</v>
      </c>
      <c r="D975" s="3">
        <v>100</v>
      </c>
      <c r="E975" t="s">
        <v>681</v>
      </c>
    </row>
    <row r="976" spans="1:5" x14ac:dyDescent="0.25">
      <c r="A976" s="2">
        <v>20190821</v>
      </c>
      <c r="B976" t="str">
        <f>"031014"</f>
        <v>031014</v>
      </c>
      <c r="C976" t="s">
        <v>4</v>
      </c>
      <c r="D976" s="3">
        <v>63.15</v>
      </c>
      <c r="E976" t="s">
        <v>682</v>
      </c>
    </row>
    <row r="977" spans="1:5" x14ac:dyDescent="0.25">
      <c r="A977" s="2">
        <v>20190821</v>
      </c>
      <c r="B977" t="str">
        <f>"031014"</f>
        <v>031014</v>
      </c>
      <c r="C977" t="s">
        <v>4</v>
      </c>
      <c r="D977" s="3">
        <v>83.3</v>
      </c>
      <c r="E977" t="s">
        <v>682</v>
      </c>
    </row>
    <row r="978" spans="1:5" x14ac:dyDescent="0.25">
      <c r="A978" s="2">
        <v>20190821</v>
      </c>
      <c r="B978" t="str">
        <f>"031015"</f>
        <v>031015</v>
      </c>
      <c r="C978" t="s">
        <v>624</v>
      </c>
      <c r="D978" s="3">
        <v>153</v>
      </c>
      <c r="E978" t="s">
        <v>683</v>
      </c>
    </row>
    <row r="979" spans="1:5" x14ac:dyDescent="0.25">
      <c r="A979" s="2">
        <v>20190821</v>
      </c>
      <c r="B979" t="str">
        <f>"031016"</f>
        <v>031016</v>
      </c>
      <c r="C979" t="s">
        <v>109</v>
      </c>
      <c r="D979" s="3">
        <v>235.75</v>
      </c>
      <c r="E979" t="s">
        <v>684</v>
      </c>
    </row>
    <row r="980" spans="1:5" x14ac:dyDescent="0.25">
      <c r="A980" s="2">
        <v>20190821</v>
      </c>
      <c r="B980" t="str">
        <f>"031017"</f>
        <v>031017</v>
      </c>
      <c r="C980" t="s">
        <v>14</v>
      </c>
      <c r="D980" s="3">
        <v>40</v>
      </c>
      <c r="E980" t="s">
        <v>685</v>
      </c>
    </row>
    <row r="981" spans="1:5" x14ac:dyDescent="0.25">
      <c r="A981" s="2">
        <v>20190822</v>
      </c>
      <c r="B981" t="str">
        <f>"031020"</f>
        <v>031020</v>
      </c>
      <c r="C981" t="s">
        <v>53</v>
      </c>
      <c r="D981" s="3">
        <v>49.59</v>
      </c>
      <c r="E981" t="s">
        <v>686</v>
      </c>
    </row>
    <row r="982" spans="1:5" x14ac:dyDescent="0.25">
      <c r="A982" s="2">
        <v>20190822</v>
      </c>
      <c r="B982" t="str">
        <f>"031021"</f>
        <v>031021</v>
      </c>
      <c r="C982" t="s">
        <v>14</v>
      </c>
      <c r="D982" s="3">
        <v>525</v>
      </c>
      <c r="E982" t="s">
        <v>687</v>
      </c>
    </row>
    <row r="983" spans="1:5" x14ac:dyDescent="0.25">
      <c r="A983" s="2">
        <v>20190822</v>
      </c>
      <c r="B983" t="str">
        <f>"031022"</f>
        <v>031022</v>
      </c>
      <c r="C983" t="s">
        <v>14</v>
      </c>
      <c r="D983" s="3">
        <v>525</v>
      </c>
      <c r="E983" t="s">
        <v>687</v>
      </c>
    </row>
    <row r="984" spans="1:5" x14ac:dyDescent="0.25">
      <c r="A984" s="2">
        <v>20190830</v>
      </c>
      <c r="B984" t="str">
        <f>"031023"</f>
        <v>031023</v>
      </c>
      <c r="C984" t="s">
        <v>18</v>
      </c>
      <c r="D984" s="3">
        <v>355.73</v>
      </c>
      <c r="E984" t="s">
        <v>688</v>
      </c>
    </row>
    <row r="985" spans="1:5" x14ac:dyDescent="0.25">
      <c r="A985" s="2">
        <v>20190830</v>
      </c>
      <c r="B985" t="str">
        <f>"031024"</f>
        <v>031024</v>
      </c>
      <c r="C985" t="s">
        <v>73</v>
      </c>
      <c r="D985" s="3">
        <v>10.45</v>
      </c>
      <c r="E985" t="s">
        <v>74</v>
      </c>
    </row>
    <row r="986" spans="1:5" x14ac:dyDescent="0.25">
      <c r="A986" s="2">
        <v>20190830</v>
      </c>
      <c r="B986" t="str">
        <f>"031025"</f>
        <v>031025</v>
      </c>
      <c r="C986" t="s">
        <v>689</v>
      </c>
      <c r="D986" s="3">
        <v>56.22</v>
      </c>
      <c r="E986" t="s">
        <v>690</v>
      </c>
    </row>
    <row r="987" spans="1:5" x14ac:dyDescent="0.25">
      <c r="A987" s="2">
        <v>20190830</v>
      </c>
      <c r="B987" t="str">
        <f>"031027"</f>
        <v>031027</v>
      </c>
      <c r="C987" t="s">
        <v>4</v>
      </c>
      <c r="D987" s="3">
        <v>313.74</v>
      </c>
      <c r="E987" t="s">
        <v>691</v>
      </c>
    </row>
    <row r="988" spans="1:5" x14ac:dyDescent="0.25">
      <c r="A988" s="2">
        <v>20190830</v>
      </c>
      <c r="B988" t="str">
        <f>"031028"</f>
        <v>031028</v>
      </c>
      <c r="C988" t="s">
        <v>55</v>
      </c>
      <c r="D988" s="3">
        <v>98.47</v>
      </c>
      <c r="E988" t="s">
        <v>692</v>
      </c>
    </row>
    <row r="989" spans="1:5" x14ac:dyDescent="0.25">
      <c r="A989" s="2">
        <v>20190830</v>
      </c>
      <c r="B989" t="str">
        <f>"031029"</f>
        <v>031029</v>
      </c>
      <c r="C989" t="s">
        <v>693</v>
      </c>
      <c r="D989" s="3">
        <v>944.46</v>
      </c>
      <c r="E989" t="s">
        <v>694</v>
      </c>
    </row>
    <row r="990" spans="1:5" x14ac:dyDescent="0.25">
      <c r="A990" s="2">
        <v>20190830</v>
      </c>
      <c r="B990" t="str">
        <f>"031031"</f>
        <v>031031</v>
      </c>
      <c r="C990" t="s">
        <v>11</v>
      </c>
      <c r="D990" s="3">
        <v>100</v>
      </c>
      <c r="E990" t="s">
        <v>695</v>
      </c>
    </row>
    <row r="991" spans="1:5" x14ac:dyDescent="0.25">
      <c r="A991" s="2">
        <v>20190904</v>
      </c>
      <c r="B991" t="str">
        <f>"031033"</f>
        <v>031033</v>
      </c>
      <c r="C991" t="s">
        <v>25</v>
      </c>
      <c r="D991" s="3">
        <v>119.69</v>
      </c>
      <c r="E991" t="s">
        <v>696</v>
      </c>
    </row>
    <row r="992" spans="1:5" x14ac:dyDescent="0.25">
      <c r="A992" s="2">
        <v>20190904</v>
      </c>
      <c r="B992" t="str">
        <f>"031034"</f>
        <v>031034</v>
      </c>
      <c r="C992" t="s">
        <v>147</v>
      </c>
      <c r="D992" s="3">
        <v>399.49</v>
      </c>
      <c r="E992" t="s">
        <v>765</v>
      </c>
    </row>
    <row r="993" spans="1:8" x14ac:dyDescent="0.25">
      <c r="A993" s="2">
        <v>20190904</v>
      </c>
      <c r="B993" t="str">
        <f>"031035"</f>
        <v>031035</v>
      </c>
      <c r="C993" t="s">
        <v>402</v>
      </c>
      <c r="D993" s="3">
        <v>66</v>
      </c>
      <c r="E993" t="s">
        <v>697</v>
      </c>
    </row>
    <row r="994" spans="1:8" x14ac:dyDescent="0.25">
      <c r="A994" s="2">
        <v>20190904</v>
      </c>
      <c r="B994" t="str">
        <f>"031036"</f>
        <v>031036</v>
      </c>
      <c r="C994" t="s">
        <v>698</v>
      </c>
      <c r="D994" s="3">
        <v>3000</v>
      </c>
      <c r="E994" t="s">
        <v>699</v>
      </c>
    </row>
    <row r="995" spans="1:8" x14ac:dyDescent="0.25">
      <c r="A995" s="2">
        <v>20190913</v>
      </c>
      <c r="B995" t="str">
        <f>"031051"</f>
        <v>031051</v>
      </c>
      <c r="C995" t="s">
        <v>308</v>
      </c>
      <c r="D995" s="3">
        <v>516</v>
      </c>
      <c r="E995" t="s">
        <v>700</v>
      </c>
    </row>
    <row r="996" spans="1:8" x14ac:dyDescent="0.25">
      <c r="A996" s="2">
        <v>20190913</v>
      </c>
      <c r="B996" t="str">
        <f>"031052"</f>
        <v>031052</v>
      </c>
      <c r="C996" t="s">
        <v>701</v>
      </c>
      <c r="D996" s="3">
        <v>2345.2800000000002</v>
      </c>
      <c r="E996" t="s">
        <v>702</v>
      </c>
    </row>
    <row r="997" spans="1:8" x14ac:dyDescent="0.25">
      <c r="A997" s="2">
        <v>20190913</v>
      </c>
      <c r="B997" t="str">
        <f>"031053"</f>
        <v>031053</v>
      </c>
      <c r="C997" t="s">
        <v>138</v>
      </c>
      <c r="D997" s="3">
        <v>1497.14</v>
      </c>
      <c r="E997" t="s">
        <v>139</v>
      </c>
    </row>
    <row r="998" spans="1:8" x14ac:dyDescent="0.25">
      <c r="A998" s="2">
        <v>20190913</v>
      </c>
      <c r="B998" t="str">
        <f>"031055"</f>
        <v>031055</v>
      </c>
      <c r="C998" t="s">
        <v>703</v>
      </c>
      <c r="D998" s="3">
        <v>270</v>
      </c>
      <c r="E998" t="s">
        <v>704</v>
      </c>
    </row>
    <row r="999" spans="1:8" x14ac:dyDescent="0.25">
      <c r="A999" s="2">
        <v>20190913</v>
      </c>
      <c r="B999" t="str">
        <f>"031056"</f>
        <v>031056</v>
      </c>
      <c r="C999" t="s">
        <v>689</v>
      </c>
      <c r="D999" s="3">
        <v>3649.37</v>
      </c>
      <c r="E999" t="s">
        <v>705</v>
      </c>
    </row>
    <row r="1000" spans="1:8" x14ac:dyDescent="0.25">
      <c r="A1000" s="2">
        <v>20190913</v>
      </c>
      <c r="B1000" t="str">
        <f>"031057"</f>
        <v>031057</v>
      </c>
      <c r="C1000" t="s">
        <v>382</v>
      </c>
      <c r="D1000" s="3">
        <v>524.12</v>
      </c>
      <c r="E1000" t="s">
        <v>706</v>
      </c>
    </row>
    <row r="1001" spans="1:8" x14ac:dyDescent="0.25">
      <c r="A1001" s="2">
        <v>20190913</v>
      </c>
      <c r="B1001" t="str">
        <f>"031058"</f>
        <v>031058</v>
      </c>
      <c r="C1001" t="s">
        <v>183</v>
      </c>
      <c r="D1001" s="3">
        <v>50</v>
      </c>
      <c r="E1001" t="s">
        <v>707</v>
      </c>
    </row>
    <row r="1002" spans="1:8" x14ac:dyDescent="0.25">
      <c r="A1002" s="2">
        <v>20190913</v>
      </c>
      <c r="B1002" t="str">
        <f>"031058"</f>
        <v>031058</v>
      </c>
      <c r="C1002" t="s">
        <v>183</v>
      </c>
      <c r="D1002" s="3">
        <v>329.98</v>
      </c>
      <c r="E1002" t="s">
        <v>707</v>
      </c>
    </row>
    <row r="1003" spans="1:8" x14ac:dyDescent="0.25">
      <c r="A1003" s="2">
        <v>20190913</v>
      </c>
      <c r="B1003" t="str">
        <f>"031059"</f>
        <v>031059</v>
      </c>
      <c r="C1003" t="s">
        <v>467</v>
      </c>
      <c r="D1003" s="3">
        <v>42</v>
      </c>
      <c r="E1003" t="s">
        <v>764</v>
      </c>
    </row>
    <row r="1004" spans="1:8" x14ac:dyDescent="0.25">
      <c r="A1004" s="2">
        <v>20190913</v>
      </c>
      <c r="B1004" t="str">
        <f>"031060"</f>
        <v>031060</v>
      </c>
      <c r="C1004" t="s">
        <v>497</v>
      </c>
      <c r="D1004" s="3">
        <v>147.5</v>
      </c>
      <c r="E1004" t="s">
        <v>232</v>
      </c>
    </row>
    <row r="1005" spans="1:8" x14ac:dyDescent="0.25">
      <c r="A1005" s="2">
        <v>20190913</v>
      </c>
      <c r="B1005" t="str">
        <f>"031061"</f>
        <v>031061</v>
      </c>
      <c r="C1005" t="s">
        <v>442</v>
      </c>
      <c r="D1005" s="3">
        <v>288.60000000000002</v>
      </c>
      <c r="E1005" t="s">
        <v>443</v>
      </c>
      <c r="H1005" t="s">
        <v>760</v>
      </c>
    </row>
    <row r="1006" spans="1:8" x14ac:dyDescent="0.25">
      <c r="A1006" s="2">
        <v>20190924</v>
      </c>
      <c r="B1006" t="str">
        <f>"031065"</f>
        <v>031065</v>
      </c>
      <c r="C1006" t="s">
        <v>639</v>
      </c>
      <c r="D1006" s="3">
        <v>115.39</v>
      </c>
      <c r="E1006" t="s">
        <v>189</v>
      </c>
    </row>
    <row r="1007" spans="1:8" x14ac:dyDescent="0.25">
      <c r="A1007" s="2">
        <v>20190924</v>
      </c>
      <c r="B1007" t="str">
        <f>"031066"</f>
        <v>031066</v>
      </c>
      <c r="C1007" t="s">
        <v>708</v>
      </c>
      <c r="D1007" s="3">
        <v>560</v>
      </c>
      <c r="E1007" t="s">
        <v>709</v>
      </c>
    </row>
    <row r="1008" spans="1:8" x14ac:dyDescent="0.25">
      <c r="A1008" s="2">
        <v>20190924</v>
      </c>
      <c r="B1008" t="str">
        <f>"031067"</f>
        <v>031067</v>
      </c>
      <c r="C1008" t="s">
        <v>163</v>
      </c>
      <c r="D1008" s="3">
        <v>228.8</v>
      </c>
      <c r="E1008" t="s">
        <v>164</v>
      </c>
    </row>
    <row r="1009" spans="1:5" x14ac:dyDescent="0.25">
      <c r="A1009" s="2">
        <v>20190924</v>
      </c>
      <c r="B1009" t="str">
        <f>"031068"</f>
        <v>031068</v>
      </c>
      <c r="C1009" t="s">
        <v>464</v>
      </c>
      <c r="D1009" s="3">
        <v>175</v>
      </c>
      <c r="E1009" t="s">
        <v>626</v>
      </c>
    </row>
    <row r="1010" spans="1:5" x14ac:dyDescent="0.25">
      <c r="A1010" s="2"/>
      <c r="C1010" s="11" t="s">
        <v>745</v>
      </c>
      <c r="D1010" s="21">
        <f>SUM(D929:D1009)</f>
        <v>48483.390000000014</v>
      </c>
    </row>
    <row r="1011" spans="1:5" x14ac:dyDescent="0.25">
      <c r="A1011" s="2">
        <v>20190131</v>
      </c>
      <c r="B1011" t="str">
        <f>"011903"</f>
        <v>011903</v>
      </c>
      <c r="C1011" t="s">
        <v>36</v>
      </c>
      <c r="D1011" s="3">
        <v>1471</v>
      </c>
      <c r="E1011" t="s">
        <v>37</v>
      </c>
    </row>
    <row r="1012" spans="1:5" x14ac:dyDescent="0.25">
      <c r="A1012" s="2">
        <v>20190131</v>
      </c>
      <c r="B1012" t="str">
        <f>"011903"</f>
        <v>011903</v>
      </c>
      <c r="C1012" t="s">
        <v>36</v>
      </c>
      <c r="D1012" s="3">
        <v>3250</v>
      </c>
      <c r="E1012" t="s">
        <v>37</v>
      </c>
    </row>
    <row r="1013" spans="1:5" x14ac:dyDescent="0.25">
      <c r="A1013" s="2">
        <v>20190131</v>
      </c>
      <c r="B1013" t="str">
        <f>"011903"</f>
        <v>011903</v>
      </c>
      <c r="C1013" t="s">
        <v>36</v>
      </c>
      <c r="D1013" s="3">
        <v>12757</v>
      </c>
      <c r="E1013" t="s">
        <v>37</v>
      </c>
    </row>
    <row r="1014" spans="1:5" x14ac:dyDescent="0.25">
      <c r="A1014" s="2">
        <v>20190124</v>
      </c>
      <c r="B1014" t="str">
        <f>"011905"</f>
        <v>011905</v>
      </c>
      <c r="C1014" t="s">
        <v>38</v>
      </c>
      <c r="D1014" s="3">
        <v>137.77000000000001</v>
      </c>
      <c r="E1014" t="s">
        <v>39</v>
      </c>
    </row>
    <row r="1015" spans="1:5" x14ac:dyDescent="0.25">
      <c r="A1015" s="2">
        <v>20190301</v>
      </c>
      <c r="B1015" t="str">
        <f>"031901"</f>
        <v>031901</v>
      </c>
      <c r="C1015" t="s">
        <v>36</v>
      </c>
      <c r="D1015" s="3">
        <v>1298.25</v>
      </c>
      <c r="E1015" t="s">
        <v>710</v>
      </c>
    </row>
    <row r="1016" spans="1:5" x14ac:dyDescent="0.25">
      <c r="A1016" s="2">
        <v>20190430</v>
      </c>
      <c r="B1016" t="str">
        <f>"041905"</f>
        <v>041905</v>
      </c>
      <c r="C1016" t="s">
        <v>449</v>
      </c>
      <c r="D1016" s="3">
        <v>132.47999999999999</v>
      </c>
      <c r="E1016" t="s">
        <v>39</v>
      </c>
    </row>
    <row r="1017" spans="1:5" x14ac:dyDescent="0.25">
      <c r="A1017" s="2">
        <v>20190517</v>
      </c>
      <c r="B1017" t="str">
        <f>"051901"</f>
        <v>051901</v>
      </c>
      <c r="C1017" t="s">
        <v>36</v>
      </c>
      <c r="D1017" s="3">
        <v>1298.25</v>
      </c>
      <c r="E1017" t="s">
        <v>711</v>
      </c>
    </row>
    <row r="1018" spans="1:5" x14ac:dyDescent="0.25">
      <c r="A1018" s="2">
        <v>20180901</v>
      </c>
      <c r="B1018" t="str">
        <f>"091801"</f>
        <v>091801</v>
      </c>
      <c r="C1018" t="s">
        <v>36</v>
      </c>
      <c r="D1018" s="3">
        <v>1298.25</v>
      </c>
      <c r="E1018" t="s">
        <v>712</v>
      </c>
    </row>
    <row r="1019" spans="1:5" x14ac:dyDescent="0.25">
      <c r="A1019" s="2">
        <v>20180907</v>
      </c>
      <c r="B1019" t="str">
        <f>"091802"</f>
        <v>091802</v>
      </c>
      <c r="C1019" t="s">
        <v>713</v>
      </c>
      <c r="D1019" s="3">
        <v>0.85</v>
      </c>
      <c r="E1019" t="s">
        <v>714</v>
      </c>
    </row>
    <row r="1020" spans="1:5" x14ac:dyDescent="0.25">
      <c r="A1020" s="2">
        <v>20181001</v>
      </c>
      <c r="B1020" t="str">
        <f>"101804"</f>
        <v>101804</v>
      </c>
      <c r="C1020" t="s">
        <v>36</v>
      </c>
      <c r="D1020" s="3">
        <v>2200</v>
      </c>
      <c r="E1020" t="s">
        <v>715</v>
      </c>
    </row>
    <row r="1021" spans="1:5" x14ac:dyDescent="0.25">
      <c r="A1021" s="2">
        <v>20181105</v>
      </c>
      <c r="B1021" t="str">
        <f>"111803"</f>
        <v>111803</v>
      </c>
      <c r="C1021" t="s">
        <v>36</v>
      </c>
      <c r="D1021" s="3">
        <v>1298.25</v>
      </c>
      <c r="E1021" t="s">
        <v>710</v>
      </c>
    </row>
    <row r="1022" spans="1:5" x14ac:dyDescent="0.25">
      <c r="A1022" s="2"/>
      <c r="C1022" s="11" t="s">
        <v>766</v>
      </c>
      <c r="D1022" s="21">
        <f>SUM(D1011:D1021)</f>
        <v>25142.1</v>
      </c>
    </row>
    <row r="1023" spans="1:5" x14ac:dyDescent="0.25">
      <c r="A1023" s="2"/>
      <c r="D1023" s="3"/>
    </row>
    <row r="1024" spans="1:5" x14ac:dyDescent="0.25">
      <c r="A1024" s="2"/>
      <c r="C1024" s="26" t="s">
        <v>762</v>
      </c>
      <c r="D1024" s="27">
        <f>SUM(D1022,D1010,D928,D877,D819,D758,D661,D584,D488,D415,D337,D256,D193)</f>
        <v>495335.52</v>
      </c>
    </row>
    <row r="1025" spans="1:5" x14ac:dyDescent="0.25">
      <c r="A1025" s="2"/>
      <c r="D1025" s="3"/>
    </row>
    <row r="1026" spans="1:5" x14ac:dyDescent="0.25">
      <c r="A1026" s="19" t="s">
        <v>767</v>
      </c>
      <c r="B1026" s="20"/>
      <c r="C1026" s="20"/>
      <c r="D1026" s="20"/>
      <c r="E1026" s="20"/>
    </row>
    <row r="1027" spans="1:5" x14ac:dyDescent="0.25">
      <c r="A1027" s="5" t="s">
        <v>738</v>
      </c>
      <c r="B1027" s="5" t="s">
        <v>739</v>
      </c>
      <c r="C1027" s="5" t="s">
        <v>740</v>
      </c>
      <c r="D1027" s="5" t="s">
        <v>741</v>
      </c>
      <c r="E1027" s="5" t="s">
        <v>742</v>
      </c>
    </row>
    <row r="1028" spans="1:5" x14ac:dyDescent="0.25">
      <c r="A1028" s="6">
        <v>20190724</v>
      </c>
      <c r="B1028" s="7" t="str">
        <f>"030958"</f>
        <v>030958</v>
      </c>
      <c r="C1028" s="7" t="s">
        <v>659</v>
      </c>
      <c r="D1028" s="8">
        <v>136</v>
      </c>
      <c r="E1028" s="7" t="s">
        <v>716</v>
      </c>
    </row>
    <row r="1029" spans="1:5" x14ac:dyDescent="0.25">
      <c r="A1029" s="2"/>
      <c r="C1029" s="16" t="s">
        <v>753</v>
      </c>
      <c r="D1029" s="23">
        <f>SUM(D1028)</f>
        <v>136</v>
      </c>
    </row>
    <row r="1030" spans="1:5" x14ac:dyDescent="0.25">
      <c r="A1030" s="6">
        <v>20190813</v>
      </c>
      <c r="B1030" s="7" t="str">
        <f>"030984"</f>
        <v>030984</v>
      </c>
      <c r="C1030" s="7" t="s">
        <v>2</v>
      </c>
      <c r="D1030" s="8">
        <v>48.46</v>
      </c>
      <c r="E1030" s="7" t="s">
        <v>717</v>
      </c>
    </row>
    <row r="1031" spans="1:5" x14ac:dyDescent="0.25">
      <c r="A1031" s="6">
        <v>20190813</v>
      </c>
      <c r="B1031" s="7" t="str">
        <f>"030986"</f>
        <v>030986</v>
      </c>
      <c r="C1031" s="7" t="s">
        <v>4</v>
      </c>
      <c r="D1031" s="8">
        <v>418.65</v>
      </c>
      <c r="E1031" s="7" t="s">
        <v>718</v>
      </c>
    </row>
    <row r="1032" spans="1:5" x14ac:dyDescent="0.25">
      <c r="A1032" s="6">
        <v>20190813</v>
      </c>
      <c r="B1032" s="7" t="str">
        <f>"030986"</f>
        <v>030986</v>
      </c>
      <c r="C1032" s="7" t="s">
        <v>4</v>
      </c>
      <c r="D1032" s="8">
        <v>399</v>
      </c>
      <c r="E1032" s="7" t="s">
        <v>719</v>
      </c>
    </row>
    <row r="1033" spans="1:5" x14ac:dyDescent="0.25">
      <c r="A1033" s="2"/>
      <c r="C1033" s="18" t="s">
        <v>745</v>
      </c>
      <c r="D1033" s="22">
        <f>SUM(D1030:D1032)</f>
        <v>866.1099999999999</v>
      </c>
    </row>
    <row r="1034" spans="1:5" x14ac:dyDescent="0.25">
      <c r="A1034" s="2"/>
      <c r="D1034" s="3"/>
    </row>
    <row r="1035" spans="1:5" x14ac:dyDescent="0.25">
      <c r="A1035" s="2"/>
      <c r="C1035" s="26" t="s">
        <v>762</v>
      </c>
      <c r="D1035" s="27">
        <f>SUM(D1033,D1029)</f>
        <v>1002.1099999999999</v>
      </c>
    </row>
    <row r="1036" spans="1:5" x14ac:dyDescent="0.25">
      <c r="A1036" s="2"/>
      <c r="D1036" s="3"/>
    </row>
    <row r="1037" spans="1:5" x14ac:dyDescent="0.25">
      <c r="A1037" s="19" t="s">
        <v>768</v>
      </c>
      <c r="B1037" s="20"/>
      <c r="C1037" s="20"/>
      <c r="D1037" s="20"/>
      <c r="E1037" s="20"/>
    </row>
    <row r="1038" spans="1:5" x14ac:dyDescent="0.25">
      <c r="A1038" s="5" t="s">
        <v>738</v>
      </c>
      <c r="B1038" s="5" t="s">
        <v>739</v>
      </c>
      <c r="C1038" s="5" t="s">
        <v>740</v>
      </c>
      <c r="D1038" s="5" t="s">
        <v>741</v>
      </c>
      <c r="E1038" s="5" t="s">
        <v>742</v>
      </c>
    </row>
    <row r="1039" spans="1:5" x14ac:dyDescent="0.25">
      <c r="A1039" s="6">
        <v>20190430</v>
      </c>
      <c r="B1039" s="7" t="str">
        <f>"030832"</f>
        <v>030832</v>
      </c>
      <c r="C1039" s="7" t="s">
        <v>60</v>
      </c>
      <c r="D1039" s="8">
        <v>300</v>
      </c>
      <c r="E1039" s="7" t="s">
        <v>720</v>
      </c>
    </row>
    <row r="1040" spans="1:5" x14ac:dyDescent="0.25">
      <c r="A1040" s="2"/>
      <c r="C1040" s="16" t="s">
        <v>756</v>
      </c>
      <c r="D1040" s="23">
        <f>SUM(D1039)</f>
        <v>300</v>
      </c>
    </row>
    <row r="1041" spans="1:5" x14ac:dyDescent="0.25">
      <c r="A1041" s="6">
        <v>20190813</v>
      </c>
      <c r="B1041" s="7" t="str">
        <f>"030984"</f>
        <v>030984</v>
      </c>
      <c r="C1041" s="7" t="s">
        <v>2</v>
      </c>
      <c r="D1041" s="8">
        <v>47.96</v>
      </c>
      <c r="E1041" s="7" t="s">
        <v>721</v>
      </c>
    </row>
    <row r="1042" spans="1:5" x14ac:dyDescent="0.25">
      <c r="A1042" s="6">
        <v>20190813</v>
      </c>
      <c r="B1042" s="7" t="str">
        <f>"030985"</f>
        <v>030985</v>
      </c>
      <c r="C1042" s="7" t="s">
        <v>722</v>
      </c>
      <c r="D1042" s="8">
        <v>65.489999999999995</v>
      </c>
      <c r="E1042" s="7" t="s">
        <v>723</v>
      </c>
    </row>
    <row r="1043" spans="1:5" x14ac:dyDescent="0.25">
      <c r="A1043" s="6">
        <v>20190813</v>
      </c>
      <c r="B1043" s="7" t="str">
        <f>"030986"</f>
        <v>030986</v>
      </c>
      <c r="C1043" s="7" t="s">
        <v>4</v>
      </c>
      <c r="D1043" s="8">
        <v>423.36</v>
      </c>
      <c r="E1043" s="7" t="s">
        <v>724</v>
      </c>
    </row>
    <row r="1044" spans="1:5" x14ac:dyDescent="0.25">
      <c r="A1044" s="6">
        <v>20190813</v>
      </c>
      <c r="B1044" s="7" t="str">
        <f>"030986"</f>
        <v>030986</v>
      </c>
      <c r="C1044" s="7" t="s">
        <v>4</v>
      </c>
      <c r="D1044" s="8">
        <v>399</v>
      </c>
      <c r="E1044" s="7" t="s">
        <v>725</v>
      </c>
    </row>
    <row r="1045" spans="1:5" x14ac:dyDescent="0.25">
      <c r="A1045" s="6">
        <v>20190821</v>
      </c>
      <c r="B1045" s="7" t="str">
        <f>"031010"</f>
        <v>031010</v>
      </c>
      <c r="C1045" s="7" t="s">
        <v>11</v>
      </c>
      <c r="D1045" s="8">
        <v>800</v>
      </c>
      <c r="E1045" s="7" t="s">
        <v>726</v>
      </c>
    </row>
    <row r="1046" spans="1:5" x14ac:dyDescent="0.25">
      <c r="A1046" s="6">
        <v>20190821</v>
      </c>
      <c r="B1046" s="7" t="str">
        <f>"031011"</f>
        <v>031011</v>
      </c>
      <c r="C1046" s="7" t="s">
        <v>595</v>
      </c>
      <c r="D1046" s="8">
        <v>175</v>
      </c>
      <c r="E1046" s="7" t="s">
        <v>727</v>
      </c>
    </row>
    <row r="1047" spans="1:5" x14ac:dyDescent="0.25">
      <c r="A1047" s="6">
        <v>20190830</v>
      </c>
      <c r="B1047" s="7" t="str">
        <f>"031031"</f>
        <v>031031</v>
      </c>
      <c r="C1047" s="7" t="s">
        <v>11</v>
      </c>
      <c r="D1047" s="8">
        <v>800</v>
      </c>
      <c r="E1047" s="7" t="s">
        <v>728</v>
      </c>
    </row>
    <row r="1048" spans="1:5" x14ac:dyDescent="0.25">
      <c r="A1048" s="6">
        <v>20190830</v>
      </c>
      <c r="B1048" s="7" t="str">
        <f>"031031"</f>
        <v>031031</v>
      </c>
      <c r="C1048" s="7" t="s">
        <v>11</v>
      </c>
      <c r="D1048" s="8">
        <v>800</v>
      </c>
      <c r="E1048" s="7" t="s">
        <v>729</v>
      </c>
    </row>
    <row r="1049" spans="1:5" x14ac:dyDescent="0.25">
      <c r="A1049" s="6">
        <v>20190913</v>
      </c>
      <c r="B1049" s="7" t="str">
        <f>"031054"</f>
        <v>031054</v>
      </c>
      <c r="C1049" s="7" t="s">
        <v>2</v>
      </c>
      <c r="D1049" s="8">
        <v>41.26</v>
      </c>
      <c r="E1049" s="7" t="s">
        <v>721</v>
      </c>
    </row>
    <row r="1050" spans="1:5" x14ac:dyDescent="0.25">
      <c r="A1050" s="6">
        <v>20190913</v>
      </c>
      <c r="B1050" s="7" t="str">
        <f>"031054"</f>
        <v>031054</v>
      </c>
      <c r="C1050" s="7" t="s">
        <v>2</v>
      </c>
      <c r="D1050" s="8">
        <v>30.76</v>
      </c>
      <c r="E1050" s="7" t="s">
        <v>730</v>
      </c>
    </row>
    <row r="1051" spans="1:5" x14ac:dyDescent="0.25">
      <c r="A1051" s="2"/>
      <c r="C1051" s="18" t="s">
        <v>745</v>
      </c>
      <c r="D1051" s="22">
        <f>SUM(D1041:D1050)</f>
        <v>3582.8300000000004</v>
      </c>
    </row>
    <row r="1052" spans="1:5" x14ac:dyDescent="0.25">
      <c r="A1052" s="2"/>
      <c r="D1052" s="3"/>
    </row>
    <row r="1053" spans="1:5" x14ac:dyDescent="0.25">
      <c r="A1053" s="2"/>
      <c r="C1053" s="26" t="s">
        <v>762</v>
      </c>
      <c r="D1053" s="27">
        <f>SUM(D1051,D1040)</f>
        <v>3882.8300000000004</v>
      </c>
    </row>
    <row r="1054" spans="1:5" x14ac:dyDescent="0.25">
      <c r="A1054" s="2"/>
      <c r="D1054" s="3"/>
    </row>
    <row r="1055" spans="1:5" x14ac:dyDescent="0.25">
      <c r="A1055" s="19" t="s">
        <v>769</v>
      </c>
      <c r="B1055" s="20"/>
      <c r="C1055" s="20"/>
      <c r="D1055" s="20"/>
      <c r="E1055" s="20"/>
    </row>
    <row r="1056" spans="1:5" x14ac:dyDescent="0.25">
      <c r="A1056" s="5" t="s">
        <v>738</v>
      </c>
      <c r="B1056" s="5" t="s">
        <v>739</v>
      </c>
      <c r="C1056" s="5" t="s">
        <v>740</v>
      </c>
      <c r="D1056" s="5" t="s">
        <v>741</v>
      </c>
      <c r="E1056" s="5" t="s">
        <v>742</v>
      </c>
    </row>
    <row r="1057" spans="1:5" x14ac:dyDescent="0.25">
      <c r="A1057" s="6">
        <v>20190208</v>
      </c>
      <c r="B1057" s="7" t="str">
        <f>"030654"</f>
        <v>030654</v>
      </c>
      <c r="C1057" s="7" t="s">
        <v>4</v>
      </c>
      <c r="D1057" s="8">
        <v>83.77</v>
      </c>
      <c r="E1057" s="7" t="s">
        <v>731</v>
      </c>
    </row>
    <row r="1058" spans="1:5" x14ac:dyDescent="0.25">
      <c r="A1058" s="6">
        <v>20190222</v>
      </c>
      <c r="B1058" s="7" t="str">
        <f>"030702"</f>
        <v>030702</v>
      </c>
      <c r="C1058" s="7" t="s">
        <v>4</v>
      </c>
      <c r="D1058" s="8">
        <v>96</v>
      </c>
      <c r="E1058" s="7" t="s">
        <v>732</v>
      </c>
    </row>
    <row r="1059" spans="1:5" x14ac:dyDescent="0.25">
      <c r="A1059" s="2"/>
      <c r="C1059" s="16" t="s">
        <v>751</v>
      </c>
      <c r="D1059" s="23">
        <f>SUM(D1057:D1058)</f>
        <v>179.76999999999998</v>
      </c>
    </row>
    <row r="1060" spans="1:5" x14ac:dyDescent="0.25">
      <c r="A1060" s="6">
        <v>20190522</v>
      </c>
      <c r="B1060" s="7" t="str">
        <f>"030864"</f>
        <v>030864</v>
      </c>
      <c r="C1060" s="7" t="s">
        <v>733</v>
      </c>
      <c r="D1060" s="8">
        <v>1643</v>
      </c>
      <c r="E1060" s="7" t="s">
        <v>734</v>
      </c>
    </row>
    <row r="1061" spans="1:5" x14ac:dyDescent="0.25">
      <c r="A1061" s="2"/>
      <c r="C1061" s="16" t="s">
        <v>755</v>
      </c>
      <c r="D1061" s="23">
        <f>SUM(D1060)</f>
        <v>1643</v>
      </c>
    </row>
    <row r="1062" spans="1:5" x14ac:dyDescent="0.25">
      <c r="A1062" s="6">
        <v>20190606</v>
      </c>
      <c r="B1062" s="7" t="str">
        <f t="shared" ref="B1062:B1076" si="17">"030878"</f>
        <v>030878</v>
      </c>
      <c r="C1062" s="7" t="s">
        <v>4</v>
      </c>
      <c r="D1062" s="8">
        <v>6.9</v>
      </c>
      <c r="E1062" s="7" t="s">
        <v>735</v>
      </c>
    </row>
    <row r="1063" spans="1:5" x14ac:dyDescent="0.25">
      <c r="A1063" s="6">
        <v>20190606</v>
      </c>
      <c r="B1063" s="7" t="str">
        <f t="shared" si="17"/>
        <v>030878</v>
      </c>
      <c r="C1063" s="7" t="s">
        <v>4</v>
      </c>
      <c r="D1063" s="8">
        <v>38.93</v>
      </c>
      <c r="E1063" s="7" t="s">
        <v>735</v>
      </c>
    </row>
    <row r="1064" spans="1:5" x14ac:dyDescent="0.25">
      <c r="A1064" s="6">
        <v>20190606</v>
      </c>
      <c r="B1064" s="7" t="str">
        <f t="shared" si="17"/>
        <v>030878</v>
      </c>
      <c r="C1064" s="7" t="s">
        <v>4</v>
      </c>
      <c r="D1064" s="8">
        <v>44.87</v>
      </c>
      <c r="E1064" s="7" t="s">
        <v>735</v>
      </c>
    </row>
    <row r="1065" spans="1:5" x14ac:dyDescent="0.25">
      <c r="A1065" s="6">
        <v>20190606</v>
      </c>
      <c r="B1065" s="7" t="str">
        <f t="shared" si="17"/>
        <v>030878</v>
      </c>
      <c r="C1065" s="7" t="s">
        <v>4</v>
      </c>
      <c r="D1065" s="8">
        <v>9.08</v>
      </c>
      <c r="E1065" s="7" t="s">
        <v>735</v>
      </c>
    </row>
    <row r="1066" spans="1:5" x14ac:dyDescent="0.25">
      <c r="A1066" s="6">
        <v>20190606</v>
      </c>
      <c r="B1066" s="7" t="str">
        <f t="shared" si="17"/>
        <v>030878</v>
      </c>
      <c r="C1066" s="7" t="s">
        <v>4</v>
      </c>
      <c r="D1066" s="8">
        <v>84.03</v>
      </c>
      <c r="E1066" s="7" t="s">
        <v>735</v>
      </c>
    </row>
    <row r="1067" spans="1:5" x14ac:dyDescent="0.25">
      <c r="A1067" s="6">
        <v>20190606</v>
      </c>
      <c r="B1067" s="7" t="str">
        <f t="shared" si="17"/>
        <v>030878</v>
      </c>
      <c r="C1067" s="7" t="s">
        <v>4</v>
      </c>
      <c r="D1067" s="8">
        <v>10.53</v>
      </c>
      <c r="E1067" s="7" t="s">
        <v>735</v>
      </c>
    </row>
    <row r="1068" spans="1:5" x14ac:dyDescent="0.25">
      <c r="A1068" s="6">
        <v>20190606</v>
      </c>
      <c r="B1068" s="7" t="str">
        <f t="shared" si="17"/>
        <v>030878</v>
      </c>
      <c r="C1068" s="7" t="s">
        <v>4</v>
      </c>
      <c r="D1068" s="8">
        <v>21.56</v>
      </c>
      <c r="E1068" s="7" t="s">
        <v>735</v>
      </c>
    </row>
    <row r="1069" spans="1:5" x14ac:dyDescent="0.25">
      <c r="A1069" s="6">
        <v>20190606</v>
      </c>
      <c r="B1069" s="7" t="str">
        <f t="shared" si="17"/>
        <v>030878</v>
      </c>
      <c r="C1069" s="7" t="s">
        <v>4</v>
      </c>
      <c r="D1069" s="8">
        <v>30.63</v>
      </c>
      <c r="E1069" s="7" t="s">
        <v>735</v>
      </c>
    </row>
    <row r="1070" spans="1:5" x14ac:dyDescent="0.25">
      <c r="A1070" s="6">
        <v>20190606</v>
      </c>
      <c r="B1070" s="7" t="str">
        <f t="shared" si="17"/>
        <v>030878</v>
      </c>
      <c r="C1070" s="7" t="s">
        <v>4</v>
      </c>
      <c r="D1070" s="8">
        <v>44.54</v>
      </c>
      <c r="E1070" s="7" t="s">
        <v>735</v>
      </c>
    </row>
    <row r="1071" spans="1:5" x14ac:dyDescent="0.25">
      <c r="A1071" s="6">
        <v>20190606</v>
      </c>
      <c r="B1071" s="7" t="str">
        <f t="shared" si="17"/>
        <v>030878</v>
      </c>
      <c r="C1071" s="7" t="s">
        <v>4</v>
      </c>
      <c r="D1071" s="8">
        <v>73.739999999999995</v>
      </c>
      <c r="E1071" s="7" t="s">
        <v>735</v>
      </c>
    </row>
    <row r="1072" spans="1:5" x14ac:dyDescent="0.25">
      <c r="A1072" s="6">
        <v>20190606</v>
      </c>
      <c r="B1072" s="7" t="str">
        <f t="shared" si="17"/>
        <v>030878</v>
      </c>
      <c r="C1072" s="7" t="s">
        <v>4</v>
      </c>
      <c r="D1072" s="8">
        <v>53.59</v>
      </c>
      <c r="E1072" s="7" t="s">
        <v>735</v>
      </c>
    </row>
    <row r="1073" spans="1:5" x14ac:dyDescent="0.25">
      <c r="A1073" s="6">
        <v>20190606</v>
      </c>
      <c r="B1073" s="7" t="str">
        <f t="shared" si="17"/>
        <v>030878</v>
      </c>
      <c r="C1073" s="7" t="s">
        <v>4</v>
      </c>
      <c r="D1073" s="8">
        <v>113.25</v>
      </c>
      <c r="E1073" s="7" t="s">
        <v>735</v>
      </c>
    </row>
    <row r="1074" spans="1:5" x14ac:dyDescent="0.25">
      <c r="A1074" s="6">
        <v>20190606</v>
      </c>
      <c r="B1074" s="7" t="str">
        <f t="shared" si="17"/>
        <v>030878</v>
      </c>
      <c r="C1074" s="7" t="s">
        <v>4</v>
      </c>
      <c r="D1074" s="8">
        <v>113.25</v>
      </c>
      <c r="E1074" s="7" t="s">
        <v>735</v>
      </c>
    </row>
    <row r="1075" spans="1:5" x14ac:dyDescent="0.25">
      <c r="A1075" s="6">
        <v>20190606</v>
      </c>
      <c r="B1075" s="7" t="str">
        <f t="shared" si="17"/>
        <v>030878</v>
      </c>
      <c r="C1075" s="7" t="s">
        <v>4</v>
      </c>
      <c r="D1075" s="8">
        <v>120.91</v>
      </c>
      <c r="E1075" s="7" t="s">
        <v>735</v>
      </c>
    </row>
    <row r="1076" spans="1:5" x14ac:dyDescent="0.25">
      <c r="A1076" s="6">
        <v>20190606</v>
      </c>
      <c r="B1076" s="7" t="str">
        <f t="shared" si="17"/>
        <v>030878</v>
      </c>
      <c r="C1076" s="7" t="s">
        <v>4</v>
      </c>
      <c r="D1076" s="8">
        <v>120.91</v>
      </c>
      <c r="E1076" s="7" t="s">
        <v>735</v>
      </c>
    </row>
    <row r="1077" spans="1:5" x14ac:dyDescent="0.25">
      <c r="A1077" s="2"/>
      <c r="C1077" s="18" t="s">
        <v>754</v>
      </c>
      <c r="D1077" s="22">
        <f>SUM(D1062:D1076)</f>
        <v>886.71999999999991</v>
      </c>
    </row>
    <row r="1078" spans="1:5" x14ac:dyDescent="0.25">
      <c r="A1078" s="2"/>
      <c r="D1078" s="3"/>
    </row>
    <row r="1079" spans="1:5" x14ac:dyDescent="0.25">
      <c r="A1079" s="2"/>
      <c r="C1079" s="26" t="s">
        <v>762</v>
      </c>
      <c r="D1079" s="27">
        <f>SUM(D1077,D1061,D1059)</f>
        <v>2709.49</v>
      </c>
    </row>
    <row r="1080" spans="1:5" x14ac:dyDescent="0.25">
      <c r="A1080" s="2"/>
      <c r="D1080" s="3"/>
    </row>
    <row r="1081" spans="1:5" x14ac:dyDescent="0.25">
      <c r="A1081" s="2"/>
      <c r="D1081" s="3"/>
    </row>
  </sheetData>
  <mergeCells count="1">
    <mergeCell ref="A1:E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Victoria Sanchez</cp:lastModifiedBy>
  <dcterms:created xsi:type="dcterms:W3CDTF">2021-04-27T15:57:20Z</dcterms:created>
  <dcterms:modified xsi:type="dcterms:W3CDTF">2021-05-06T18:55:56Z</dcterms:modified>
</cp:coreProperties>
</file>